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6. PROJECTS\01 Limpopo\Local Municipality\Greater Letaba Municipality Maphalle\10.Tender\10.4 Bill of Quantities\"/>
    </mc:Choice>
  </mc:AlternateContent>
  <bookViews>
    <workbookView xWindow="0" yWindow="0" windowWidth="23040" windowHeight="8208" tabRatio="984" firstSheet="7" activeTab="36"/>
  </bookViews>
  <sheets>
    <sheet name="Contractor Cover Sheet IPC 1" sheetId="29" state="hidden" r:id="rId1"/>
    <sheet name="IA CERTIFICATE " sheetId="30" state="hidden" r:id="rId2"/>
    <sheet name="1-P&amp;G's " sheetId="2" r:id="rId3"/>
    <sheet name="2-Landfill Cells" sheetId="27" r:id="rId4"/>
    <sheet name="3-Leachate Pond" sheetId="36" r:id="rId5"/>
    <sheet name="4-Drainage" sheetId="6" r:id="rId6"/>
    <sheet name="5-Structural Works" sheetId="37" r:id="rId7"/>
    <sheet name="1500 " sheetId="38" r:id="rId8"/>
    <sheet name="1700" sheetId="39" r:id="rId9"/>
    <sheet name="2100" sheetId="40" r:id="rId10"/>
    <sheet name="2200" sheetId="41" r:id="rId11"/>
    <sheet name="2300" sheetId="42" r:id="rId12"/>
    <sheet name="3100" sheetId="43" r:id="rId13"/>
    <sheet name="3300" sheetId="44" r:id="rId14"/>
    <sheet name="3400 " sheetId="45" r:id="rId15"/>
    <sheet name="3500" sheetId="46" r:id="rId16"/>
    <sheet name="3600" sheetId="47" r:id="rId17"/>
    <sheet name="4100" sheetId="48" r:id="rId18"/>
    <sheet name="4200" sheetId="49" r:id="rId19"/>
    <sheet name="5100" sheetId="50" r:id="rId20"/>
    <sheet name="5200" sheetId="51" r:id="rId21"/>
    <sheet name="5400" sheetId="52" r:id="rId22"/>
    <sheet name="5600" sheetId="54" r:id="rId23"/>
    <sheet name="5700" sheetId="53" r:id="rId24"/>
    <sheet name="5900" sheetId="55" r:id="rId25"/>
    <sheet name="7300" sheetId="56" r:id="rId26"/>
    <sheet name="8100" sheetId="57" r:id="rId27"/>
    <sheet name="GENERAL SUMMARY " sheetId="58" r:id="rId28"/>
    <sheet name="9-Office Blocks" sheetId="17" state="hidden" r:id="rId29"/>
    <sheet name="10-Office Blocks EL" sheetId="26" state="hidden" r:id="rId30"/>
    <sheet name="11-WORKSHOP" sheetId="18" state="hidden" r:id="rId31"/>
    <sheet name="12-WORKSHOP EL" sheetId="23" state="hidden" r:id="rId32"/>
    <sheet name="13-ABLUTION" sheetId="19" state="hidden" r:id="rId33"/>
    <sheet name="14-ABLUTION EL" sheetId="24" state="hidden" r:id="rId34"/>
    <sheet name="12-PLANT" sheetId="28" state="hidden" r:id="rId35"/>
    <sheet name="13-V.O." sheetId="33" state="hidden" r:id="rId36"/>
    <sheet name="Summary" sheetId="14" r:id="rId37"/>
    <sheet name="Sheet1 (2)" sheetId="32" state="hidden"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0">#REF!</definedName>
    <definedName name="\a">#REF!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____SEC1200">#REF!</definedName>
    <definedName name="______SEC1200">#REF!</definedName>
    <definedName name="_____SEC1200">#REF!</definedName>
    <definedName name="____SEC1200">#REF!</definedName>
    <definedName name="___SEC1200" localSheetId="23">'5700'!#REF!</definedName>
    <definedName name="___SEC1200">#REF!</definedName>
    <definedName name="__123Graph_A" localSheetId="6" hidden="1">[1]A!$B$4:$P$4</definedName>
    <definedName name="__123Graph_A" hidden="1">[2]PROGRESS!#REF!</definedName>
    <definedName name="__123Graph_B" localSheetId="6" hidden="1">[3]A!$AA$6:$AA$31</definedName>
    <definedName name="__123Graph_B" hidden="1">[2]PROGRESS!#REF!</definedName>
    <definedName name="__123Graph_C" hidden="1">[3]A!$AI$6:$AI$28</definedName>
    <definedName name="__123Graph_X" localSheetId="6" hidden="1">[1]A!$B$5:$P$5</definedName>
    <definedName name="__123Graph_X" hidden="1">[2]PROGRESS!#REF!</definedName>
    <definedName name="__IntlFixup" hidden="1">TRUE</definedName>
    <definedName name="__sch1">#REF!</definedName>
    <definedName name="__sch2">#REF!</definedName>
    <definedName name="__sec12" localSheetId="14">#REF!</definedName>
    <definedName name="__sec12" localSheetId="15">#REF!</definedName>
    <definedName name="__sec12">#REF!</definedName>
    <definedName name="__SEC1200" localSheetId="7">#REF!</definedName>
    <definedName name="__SEC1200" localSheetId="8">#REF!</definedName>
    <definedName name="__SEC1200" localSheetId="9">#REF!</definedName>
    <definedName name="__SEC1200" localSheetId="10">#REF!</definedName>
    <definedName name="__SEC1200" localSheetId="11">#REF!</definedName>
    <definedName name="__SEC1200" localSheetId="12">#REF!</definedName>
    <definedName name="__SEC1200" localSheetId="13">#REF!</definedName>
    <definedName name="__SEC1200" localSheetId="14">#REF!</definedName>
    <definedName name="__SEC1200" localSheetId="15">#REF!</definedName>
    <definedName name="__SEC1200" localSheetId="16">#REF!</definedName>
    <definedName name="__SEC1200" localSheetId="17">#REF!</definedName>
    <definedName name="__SEC1200" localSheetId="18">#REF!</definedName>
    <definedName name="__SEC1200" localSheetId="19">#REF!</definedName>
    <definedName name="__SEC1200" localSheetId="20">#REF!</definedName>
    <definedName name="__SEC1200" localSheetId="21">#REF!</definedName>
    <definedName name="__SEC1200" localSheetId="22">#REF!</definedName>
    <definedName name="__SEC1200" localSheetId="23">#REF!</definedName>
    <definedName name="__SEC1200" localSheetId="24">#REF!</definedName>
    <definedName name="__SEC1200" localSheetId="25">#REF!</definedName>
    <definedName name="__SEC1200" localSheetId="26">#REF!</definedName>
    <definedName name="__SEC1200" localSheetId="27">#REF!</definedName>
    <definedName name="__SEC1200">#REF!</definedName>
    <definedName name="__SEC2200">#REF!</definedName>
    <definedName name="__tax1">#REF!</definedName>
    <definedName name="__tax2">#REF!</definedName>
    <definedName name="__tax3">#REF!</definedName>
    <definedName name="__tax4">#REF!</definedName>
    <definedName name="_1__123Graph_A1_94" hidden="1">[2]PROGRESS!#REF!</definedName>
    <definedName name="_1__123Graph_ACHART_1" hidden="1">[1]A!$B$4:$AD$4</definedName>
    <definedName name="_2__123Graph_APROGRESS_4_95" hidden="1">[2]PROGRESS!#REF!</definedName>
    <definedName name="_2__123Graph_XCHART_1" hidden="1">[1]A!$B$5:$AD$5</definedName>
    <definedName name="_3__123Graph_ATEM1_94" hidden="1">[2]PROGRESS!#REF!</definedName>
    <definedName name="_4__123Graph_B1_94" hidden="1">[2]PROGRESS!#REF!</definedName>
    <definedName name="_5__123Graph_BPROGRESS_4_95" hidden="1">[2]PROGRESS!#REF!</definedName>
    <definedName name="_6__123Graph_BTEM1_94" hidden="1">[2]PROGRESS!#REF!</definedName>
    <definedName name="_7__123Graph_X1_94" hidden="1">[2]PROGRESS!#REF!</definedName>
    <definedName name="_8__123Graph_XPROGRESS_4_95" hidden="1">[2]PROGRESS!#REF!</definedName>
    <definedName name="_9__123Graph_XTEM1_94" hidden="1">[2]PROGRESS!#REF!</definedName>
    <definedName name="_Fill" hidden="1">[1]A!$B$3:$AJ$5</definedName>
    <definedName name="_M11">#REF!</definedName>
    <definedName name="_M13">#REF!</definedName>
    <definedName name="_M14">#REF!</definedName>
    <definedName name="_M15">#REF!</definedName>
    <definedName name="_M16">#REF!</definedName>
    <definedName name="_M17">#REF!</definedName>
    <definedName name="_M18">#REF!</definedName>
    <definedName name="_Order1" hidden="1">255</definedName>
    <definedName name="_Order2" hidden="1">0</definedName>
    <definedName name="_Parse_Out" localSheetId="7" hidden="1">#REF!</definedName>
    <definedName name="_Parse_Out" localSheetId="8" hidden="1">#REF!</definedName>
    <definedName name="_Parse_Out" localSheetId="9" hidden="1">#REF!</definedName>
    <definedName name="_Parse_Out" localSheetId="10"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23" hidden="1">#REF!</definedName>
    <definedName name="_Parse_Out" localSheetId="24" hidden="1">#REF!</definedName>
    <definedName name="_Parse_Out" localSheetId="25" hidden="1">#REF!</definedName>
    <definedName name="_Parse_Out" localSheetId="26" hidden="1">#REF!</definedName>
    <definedName name="_Parse_Out" localSheetId="27" hidden="1">#REF!</definedName>
    <definedName name="_Parse_Out" hidden="1">#REF!</definedName>
    <definedName name="_sch1">#REF!</definedName>
    <definedName name="_sch2">#REF!</definedName>
    <definedName name="_sec12" localSheetId="7">#REF!</definedName>
    <definedName name="_sec12" localSheetId="8">#REF!</definedName>
    <definedName name="_sec12" localSheetId="9">#REF!</definedName>
    <definedName name="_sec12" localSheetId="10">#REF!</definedName>
    <definedName name="_sec12" localSheetId="11">#REF!</definedName>
    <definedName name="_sec12" localSheetId="12">#REF!</definedName>
    <definedName name="_sec12" localSheetId="13">#REF!</definedName>
    <definedName name="_sec12" localSheetId="14">#REF!</definedName>
    <definedName name="_sec12" localSheetId="15">#REF!</definedName>
    <definedName name="_sec12" localSheetId="16">#REF!</definedName>
    <definedName name="_sec12" localSheetId="17">#REF!</definedName>
    <definedName name="_sec12" localSheetId="18">#REF!</definedName>
    <definedName name="_sec12" localSheetId="19">#REF!</definedName>
    <definedName name="_sec12" localSheetId="20">#REF!</definedName>
    <definedName name="_sec12" localSheetId="21">#REF!</definedName>
    <definedName name="_sec12" localSheetId="22">#REF!</definedName>
    <definedName name="_sec12" localSheetId="23">#REF!</definedName>
    <definedName name="_sec12" localSheetId="24">#REF!</definedName>
    <definedName name="_sec12" localSheetId="6">#REF!</definedName>
    <definedName name="_sec12" localSheetId="25">#REF!</definedName>
    <definedName name="_sec12" localSheetId="26">#REF!</definedName>
    <definedName name="_sec12" localSheetId="27">#REF!</definedName>
    <definedName name="_sec12">#REF!</definedName>
    <definedName name="_SEC1200" localSheetId="7">#REF!</definedName>
    <definedName name="_SEC1200" localSheetId="8">#REF!</definedName>
    <definedName name="_SEC1200" localSheetId="9">#REF!</definedName>
    <definedName name="_SEC1200" localSheetId="10">#REF!</definedName>
    <definedName name="_SEC1200" localSheetId="11">#REF!</definedName>
    <definedName name="_SEC1200" localSheetId="12">#REF!</definedName>
    <definedName name="_SEC1200" localSheetId="13">#REF!</definedName>
    <definedName name="_SEC1200" localSheetId="14">#REF!</definedName>
    <definedName name="_SEC1200" localSheetId="15">#REF!</definedName>
    <definedName name="_SEC1200" localSheetId="16">#REF!</definedName>
    <definedName name="_SEC1200" localSheetId="17">#REF!</definedName>
    <definedName name="_SEC1200" localSheetId="18">#REF!</definedName>
    <definedName name="_SEC1200" localSheetId="19">#REF!</definedName>
    <definedName name="_SEC1200" localSheetId="20">#REF!</definedName>
    <definedName name="_SEC1200" localSheetId="21">#REF!</definedName>
    <definedName name="_SEC1200" localSheetId="22">#REF!</definedName>
    <definedName name="_SEC1200" localSheetId="23">#REF!</definedName>
    <definedName name="_SEC1200" localSheetId="24">#REF!</definedName>
    <definedName name="_SEC1200" localSheetId="6">#REF!</definedName>
    <definedName name="_SEC1200" localSheetId="25">#REF!</definedName>
    <definedName name="_SEC1200" localSheetId="26">#REF!</definedName>
    <definedName name="_SEC1200" localSheetId="27">#REF!</definedName>
    <definedName name="_SEC1200">#REF!</definedName>
    <definedName name="_SEC1500" localSheetId="7">#REF!</definedName>
    <definedName name="_SEC1500" localSheetId="8">#REF!</definedName>
    <definedName name="_SEC1500" localSheetId="9">#REF!</definedName>
    <definedName name="_SEC1500" localSheetId="11">#REF!</definedName>
    <definedName name="_SEC1500" localSheetId="14">#REF!</definedName>
    <definedName name="_SEC1500" localSheetId="15">#REF!</definedName>
    <definedName name="_SEC1500" localSheetId="23">#REF!</definedName>
    <definedName name="_SEC1500" localSheetId="24">#REF!</definedName>
    <definedName name="_SEC1500" localSheetId="25">#REF!</definedName>
    <definedName name="_SEC1500" localSheetId="27">#REF!</definedName>
    <definedName name="_SEC1500">#REF!</definedName>
    <definedName name="_SEC2100" localSheetId="11">'[4]SCHEDULE A'!#REF!</definedName>
    <definedName name="_SEC2100">'[4]SCHEDULE A'!#REF!</definedName>
    <definedName name="_SEC2200" localSheetId="7">#REF!</definedName>
    <definedName name="_SEC2200" localSheetId="8">#REF!</definedName>
    <definedName name="_SEC2200" localSheetId="9">#REF!</definedName>
    <definedName name="_SEC2200" localSheetId="11">#REF!</definedName>
    <definedName name="_SEC2200" localSheetId="14">#REF!</definedName>
    <definedName name="_SEC2200" localSheetId="15">#REF!</definedName>
    <definedName name="_SEC2200" localSheetId="22">#REF!</definedName>
    <definedName name="_SEC2200" localSheetId="23">#REF!</definedName>
    <definedName name="_SEC2200" localSheetId="24">#REF!</definedName>
    <definedName name="_SEC2200" localSheetId="25">#REF!</definedName>
    <definedName name="_SEC2200" localSheetId="27">#REF!</definedName>
    <definedName name="_SEC2200">#REF!</definedName>
    <definedName name="_SEC3400" localSheetId="7">#REF!</definedName>
    <definedName name="_SEC3400" localSheetId="8">#REF!</definedName>
    <definedName name="_SEC3400" localSheetId="9">#REF!</definedName>
    <definedName name="_SEC3400" localSheetId="11">#REF!</definedName>
    <definedName name="_SEC3400" localSheetId="14">#REF!</definedName>
    <definedName name="_SEC3400" localSheetId="15">#REF!</definedName>
    <definedName name="_SEC3400" localSheetId="23">#REF!</definedName>
    <definedName name="_SEC3400" localSheetId="24">#REF!</definedName>
    <definedName name="_SEC3400" localSheetId="25">#REF!</definedName>
    <definedName name="_SEC3400" localSheetId="27">#REF!</definedName>
    <definedName name="_SEC3400">#REF!</definedName>
    <definedName name="_SEC5900" localSheetId="7">#REF!</definedName>
    <definedName name="_SEC5900" localSheetId="8">#REF!</definedName>
    <definedName name="_SEC5900" localSheetId="9">#REF!</definedName>
    <definedName name="_SEC5900" localSheetId="11">#REF!</definedName>
    <definedName name="_SEC5900" localSheetId="14">#REF!</definedName>
    <definedName name="_SEC5900" localSheetId="15">#REF!</definedName>
    <definedName name="_SEC5900" localSheetId="23">#REF!</definedName>
    <definedName name="_SEC5900" localSheetId="24">#REF!</definedName>
    <definedName name="_SEC5900" localSheetId="25">#REF!</definedName>
    <definedName name="_SEC5900" localSheetId="27">#REF!</definedName>
    <definedName name="_SEC5900">#REF!</definedName>
    <definedName name="_SEC8100" localSheetId="7">#REF!</definedName>
    <definedName name="_SEC8100" localSheetId="8">#REF!</definedName>
    <definedName name="_SEC8100" localSheetId="9">#REF!</definedName>
    <definedName name="_SEC8100" localSheetId="11">#REF!</definedName>
    <definedName name="_SEC8100" localSheetId="14">#REF!</definedName>
    <definedName name="_SEC8100" localSheetId="15">#REF!</definedName>
    <definedName name="_SEC8100" localSheetId="23">#REF!</definedName>
    <definedName name="_SEC8100" localSheetId="24">#REF!</definedName>
    <definedName name="_SEC8100" localSheetId="25">#REF!</definedName>
    <definedName name="_SEC8100" localSheetId="27">#REF!</definedName>
    <definedName name="_SEC8100">#REF!</definedName>
    <definedName name="_Sort" hidden="1">#REF!</definedName>
    <definedName name="_tax1" localSheetId="6">#REF!</definedName>
    <definedName name="_tax1" localSheetId="37">#REF!</definedName>
    <definedName name="_tax1">#REF!</definedName>
    <definedName name="_tax2" localSheetId="6">#REF!</definedName>
    <definedName name="_tax2" localSheetId="37">#REF!</definedName>
    <definedName name="_tax2">#REF!</definedName>
    <definedName name="_tax3" localSheetId="6">#REF!</definedName>
    <definedName name="_tax3" localSheetId="37">#REF!</definedName>
    <definedName name="_tax3">#REF!</definedName>
    <definedName name="_tax4" localSheetId="6">#REF!</definedName>
    <definedName name="_tax4" localSheetId="37">#REF!</definedName>
    <definedName name="_tax4">#REF!</definedName>
    <definedName name="ALL" localSheetId="7">#REF!</definedName>
    <definedName name="ALL" localSheetId="8">#REF!</definedName>
    <definedName name="ALL" localSheetId="9">#REF!</definedName>
    <definedName name="ALL" localSheetId="10">#REF!</definedName>
    <definedName name="ALL" localSheetId="11">#REF!</definedName>
    <definedName name="ALL" localSheetId="12">#REF!</definedName>
    <definedName name="ALL" localSheetId="13">#REF!</definedName>
    <definedName name="ALL" localSheetId="14">#REF!</definedName>
    <definedName name="ALL" localSheetId="15">#REF!</definedName>
    <definedName name="ALL" localSheetId="16">#REF!</definedName>
    <definedName name="ALL" localSheetId="17">#REF!</definedName>
    <definedName name="ALL" localSheetId="18">#REF!</definedName>
    <definedName name="ALL" localSheetId="19">#REF!</definedName>
    <definedName name="ALL" localSheetId="20">#REF!</definedName>
    <definedName name="ALL" localSheetId="21">#REF!</definedName>
    <definedName name="ALL" localSheetId="22">#REF!</definedName>
    <definedName name="ALL" localSheetId="23">#REF!</definedName>
    <definedName name="ALL" localSheetId="24">#REF!</definedName>
    <definedName name="ALL" localSheetId="6">#REF!</definedName>
    <definedName name="ALL" localSheetId="25">#REF!</definedName>
    <definedName name="ALL" localSheetId="26">#REF!</definedName>
    <definedName name="ALL" localSheetId="27">#REF!</definedName>
    <definedName name="ALL">#REF!</definedName>
    <definedName name="ALS">#REF!</definedName>
    <definedName name="AMOUNT" localSheetId="7">#REF!</definedName>
    <definedName name="AMOUNT" localSheetId="8">#REF!</definedName>
    <definedName name="AMOUNT" localSheetId="9">#REF!</definedName>
    <definedName name="AMOUNT" localSheetId="11">#REF!</definedName>
    <definedName name="AMOUNT" localSheetId="14">#REF!</definedName>
    <definedName name="AMOUNT" localSheetId="15">#REF!</definedName>
    <definedName name="AMOUNT" localSheetId="23">#REF!</definedName>
    <definedName name="AMOUNT" localSheetId="24">#REF!</definedName>
    <definedName name="AMOUNT" localSheetId="25">#REF!</definedName>
    <definedName name="AMOUNT" localSheetId="27">#REF!</definedName>
    <definedName name="AMOUNT">#REF!</definedName>
    <definedName name="ARCHITEC">#REF!</definedName>
    <definedName name="AveDays">[5]Calcs!$B$19</definedName>
    <definedName name="BOND">#REF!</definedName>
    <definedName name="BOTBOX">#REF!</definedName>
    <definedName name="boxes" localSheetId="6">#REF!</definedName>
    <definedName name="boxes" localSheetId="37">#REF!</definedName>
    <definedName name="boxes">#REF!</definedName>
    <definedName name="bugdetlatest">#REF!</definedName>
    <definedName name="button_area_1" localSheetId="6">#REF!</definedName>
    <definedName name="button_area_1" localSheetId="37">#REF!</definedName>
    <definedName name="button_area_1">#REF!</definedName>
    <definedName name="C_">#REF!</definedName>
    <definedName name="CA_275">#REF!</definedName>
    <definedName name="CA_320">#REF!</definedName>
    <definedName name="CA_370">#REF!</definedName>
    <definedName name="CASHFLOW">#REF!</definedName>
    <definedName name="CC" localSheetId="6">'[6]Customize Your Invoice'!$G$22:$G$25</definedName>
    <definedName name="CC" localSheetId="37">'[7]Customize Your Invoice'!$G$22:$G$25</definedName>
    <definedName name="CC">'[8]Customize Your Invoice'!$G$22:$G$25</definedName>
    <definedName name="CCT" localSheetId="6">#REF!</definedName>
    <definedName name="CCT" localSheetId="37">#REF!</definedName>
    <definedName name="CCT">#REF!</definedName>
    <definedName name="cec">#REF!</definedName>
    <definedName name="celltips_area" localSheetId="6">#REF!</definedName>
    <definedName name="celltips_area" localSheetId="37">#REF!</definedName>
    <definedName name="celltips_area">#REF!</definedName>
    <definedName name="CL">#REF!</definedName>
    <definedName name="CL_275">#REF!</definedName>
    <definedName name="CL_320">#REF!</definedName>
    <definedName name="CL_370">#REF!</definedName>
    <definedName name="ClearREVcrr">'[5]Revenue Summary'!$F$4:$F$28,'[5]Revenue Summary'!$F$34:$F$43,'[5]Revenue Summary'!$F$67:$F$71,'[5]Revenue Summary'!$F$94:$F$96</definedName>
    <definedName name="ClrCRR">'[5]Revenue Summary'!$F$4:$F$28,'[5]Revenue Summary'!$F$34:$F$43,'[5]Revenue Summary'!$F$67:$F$71,'[5]Revenue Summary'!$F$94:$F$96</definedName>
    <definedName name="ClrSCRR">'[5]Revenue Summary'!$I$4:$I$28,'[5]Revenue Summary'!$I$34:$I$43,'[5]Revenue Summary'!$I$67:$I$71,'[5]Revenue Summary'!$I$94:$I$96</definedName>
    <definedName name="ClrSubPhADDlevy">'[5]Revenue Summary'!$U$4:$U$28,'[5]Revenue Summary'!$U$34:$U$43,'[5]Revenue Summary'!$U$67:$U$71,'[5]Revenue Summary'!$U$94:$U$96</definedName>
    <definedName name="ClrSubPhAddLevyRisk">'[5]Revenue Summary'!$X$4:$X$28,'[5]Revenue Summary'!$X$34:$X$43,'[5]Revenue Summary'!$X$67:$X$71,'[5]Revenue Summary'!$X$94:$X$96</definedName>
    <definedName name="ClrSubPhase">'[5]Revenue Summary'!$R$4:$R$28,'[5]Revenue Summary'!$R$34:$R$43,'[5]Revenue Summary'!$R$67:$R$71,'[5]Revenue Summary'!$R$94:$R$96</definedName>
    <definedName name="ClrSUBR">'[5]Revenue Summary'!$L$4:$L$28,'[5]Revenue Summary'!$L$34:$L$43,'[5]Revenue Summary'!$L$67:$L$71,'[5]Revenue Summary'!$L$94:$L$96</definedName>
    <definedName name="CMO">#REF!</definedName>
    <definedName name="cpa">#REF!</definedName>
    <definedName name="D">#REF!</definedName>
    <definedName name="DAAN_C">#REF!</definedName>
    <definedName name="DAE_ELK">#REF!</definedName>
    <definedName name="DAE_GRD">#REF!</definedName>
    <definedName name="dasdasdasd">'[9]Bill1 P&amp;G'!$A$1:$H$109</definedName>
    <definedName name="data021">#REF!</definedName>
    <definedName name="data1" localSheetId="6">#REF!</definedName>
    <definedName name="data1" localSheetId="37">#REF!</definedName>
    <definedName name="data1">#REF!</definedName>
    <definedName name="data10" localSheetId="6">#REF!</definedName>
    <definedName name="data10" localSheetId="37">#REF!</definedName>
    <definedName name="data10">#REF!</definedName>
    <definedName name="data11" localSheetId="6">#REF!</definedName>
    <definedName name="data11" localSheetId="37">#REF!</definedName>
    <definedName name="data11">#REF!</definedName>
    <definedName name="data12" localSheetId="6">#REF!</definedName>
    <definedName name="data12" localSheetId="37">#REF!</definedName>
    <definedName name="data12">#REF!</definedName>
    <definedName name="data13" localSheetId="6">#REF!</definedName>
    <definedName name="data13" localSheetId="37">#REF!</definedName>
    <definedName name="data13">#REF!</definedName>
    <definedName name="data14" localSheetId="6">#REF!</definedName>
    <definedName name="data14" localSheetId="37">#REF!</definedName>
    <definedName name="data14">#REF!</definedName>
    <definedName name="data15" localSheetId="6">#REF!</definedName>
    <definedName name="data15" localSheetId="37">#REF!</definedName>
    <definedName name="data15">#REF!</definedName>
    <definedName name="data16" localSheetId="6">#REF!</definedName>
    <definedName name="data16" localSheetId="37">#REF!</definedName>
    <definedName name="data16">#REF!</definedName>
    <definedName name="data17" localSheetId="6">#REF!</definedName>
    <definedName name="data17" localSheetId="37">#REF!</definedName>
    <definedName name="data17">#REF!</definedName>
    <definedName name="data18" localSheetId="6">#REF!</definedName>
    <definedName name="data18" localSheetId="37">#REF!</definedName>
    <definedName name="data18">#REF!</definedName>
    <definedName name="data19" localSheetId="6">#REF!</definedName>
    <definedName name="data19" localSheetId="37">#REF!</definedName>
    <definedName name="data19">#REF!</definedName>
    <definedName name="data2" localSheetId="6">#REF!</definedName>
    <definedName name="data2" localSheetId="37">#REF!</definedName>
    <definedName name="data2">#REF!</definedName>
    <definedName name="data20" localSheetId="6">#REF!</definedName>
    <definedName name="data20" localSheetId="37">#REF!</definedName>
    <definedName name="data20">#REF!</definedName>
    <definedName name="data21" localSheetId="6">#REF!</definedName>
    <definedName name="data21" localSheetId="37">#REF!</definedName>
    <definedName name="data21">#REF!</definedName>
    <definedName name="data22" localSheetId="6">#REF!</definedName>
    <definedName name="data22" localSheetId="37">#REF!</definedName>
    <definedName name="data22">#REF!</definedName>
    <definedName name="data23" localSheetId="6">#REF!</definedName>
    <definedName name="data23" localSheetId="37">#REF!</definedName>
    <definedName name="data23">#REF!</definedName>
    <definedName name="data24" localSheetId="6">#REF!</definedName>
    <definedName name="data24" localSheetId="37">#REF!</definedName>
    <definedName name="data24">#REF!</definedName>
    <definedName name="data25" localSheetId="6">#REF!</definedName>
    <definedName name="data25" localSheetId="37">#REF!</definedName>
    <definedName name="data25">#REF!</definedName>
    <definedName name="data26" localSheetId="6">#REF!</definedName>
    <definedName name="data26" localSheetId="37">#REF!</definedName>
    <definedName name="data26">#REF!</definedName>
    <definedName name="data27" localSheetId="6">#REF!</definedName>
    <definedName name="data27" localSheetId="37">#REF!</definedName>
    <definedName name="data27">#REF!</definedName>
    <definedName name="data28" localSheetId="6">#REF!</definedName>
    <definedName name="data28" localSheetId="37">#REF!</definedName>
    <definedName name="data28">#REF!</definedName>
    <definedName name="data29" localSheetId="6">#REF!</definedName>
    <definedName name="data29" localSheetId="37">#REF!</definedName>
    <definedName name="data29">#REF!</definedName>
    <definedName name="data3" localSheetId="6">#REF!</definedName>
    <definedName name="data3" localSheetId="37">#REF!</definedName>
    <definedName name="data3">#REF!</definedName>
    <definedName name="data30" localSheetId="6">#REF!</definedName>
    <definedName name="data30" localSheetId="37">#REF!</definedName>
    <definedName name="data30">#REF!</definedName>
    <definedName name="data31" localSheetId="6">#REF!</definedName>
    <definedName name="data31" localSheetId="37">#REF!</definedName>
    <definedName name="data31">#REF!</definedName>
    <definedName name="data32" localSheetId="6">#REF!</definedName>
    <definedName name="data32" localSheetId="37">#REF!</definedName>
    <definedName name="data32">#REF!</definedName>
    <definedName name="data33" localSheetId="6">#REF!</definedName>
    <definedName name="data33" localSheetId="37">#REF!</definedName>
    <definedName name="data33">#REF!</definedName>
    <definedName name="data34" localSheetId="6">#REF!</definedName>
    <definedName name="data34" localSheetId="37">#REF!</definedName>
    <definedName name="data34">#REF!</definedName>
    <definedName name="data35" localSheetId="6">#REF!</definedName>
    <definedName name="data35" localSheetId="37">#REF!</definedName>
    <definedName name="data35">#REF!</definedName>
    <definedName name="data36" localSheetId="6">#REF!</definedName>
    <definedName name="data36" localSheetId="37">#REF!</definedName>
    <definedName name="data36">#REF!</definedName>
    <definedName name="data37" localSheetId="6">#REF!</definedName>
    <definedName name="data37" localSheetId="37">#REF!</definedName>
    <definedName name="data37">#REF!</definedName>
    <definedName name="data38" localSheetId="6">#REF!</definedName>
    <definedName name="data38" localSheetId="37">#REF!</definedName>
    <definedName name="data38">#REF!</definedName>
    <definedName name="data39" localSheetId="6">#REF!</definedName>
    <definedName name="data39" localSheetId="37">#REF!</definedName>
    <definedName name="data39">#REF!</definedName>
    <definedName name="data4" localSheetId="6">#REF!</definedName>
    <definedName name="data4" localSheetId="37">#REF!</definedName>
    <definedName name="data4">#REF!</definedName>
    <definedName name="data40" localSheetId="6">#REF!</definedName>
    <definedName name="data40" localSheetId="37">#REF!</definedName>
    <definedName name="data40">#REF!</definedName>
    <definedName name="data41" localSheetId="6">#REF!</definedName>
    <definedName name="data41" localSheetId="37">#REF!</definedName>
    <definedName name="data41">#REF!</definedName>
    <definedName name="data42" localSheetId="6">#REF!</definedName>
    <definedName name="data42" localSheetId="37">#REF!</definedName>
    <definedName name="data42">#REF!</definedName>
    <definedName name="data43" localSheetId="6">#REF!</definedName>
    <definedName name="data43" localSheetId="37">#REF!</definedName>
    <definedName name="data43">#REF!</definedName>
    <definedName name="data44" localSheetId="6">#REF!</definedName>
    <definedName name="data44" localSheetId="37">#REF!</definedName>
    <definedName name="data44">#REF!</definedName>
    <definedName name="data45" localSheetId="6">#REF!</definedName>
    <definedName name="data45" localSheetId="37">#REF!</definedName>
    <definedName name="data45">#REF!</definedName>
    <definedName name="data46" localSheetId="6">#REF!</definedName>
    <definedName name="data46" localSheetId="37">#REF!</definedName>
    <definedName name="data46">#REF!</definedName>
    <definedName name="data47" localSheetId="6">#REF!</definedName>
    <definedName name="data47" localSheetId="37">#REF!</definedName>
    <definedName name="data47">#REF!</definedName>
    <definedName name="data48" localSheetId="6">#REF!</definedName>
    <definedName name="data48" localSheetId="37">#REF!</definedName>
    <definedName name="data48">#REF!</definedName>
    <definedName name="data49" localSheetId="6">#REF!</definedName>
    <definedName name="data49" localSheetId="37">#REF!</definedName>
    <definedName name="data49">#REF!</definedName>
    <definedName name="data5" localSheetId="6">#REF!</definedName>
    <definedName name="data5" localSheetId="37">#REF!</definedName>
    <definedName name="data5">#REF!</definedName>
    <definedName name="data50" localSheetId="6">#REF!</definedName>
    <definedName name="data50" localSheetId="37">#REF!</definedName>
    <definedName name="data50">#REF!</definedName>
    <definedName name="data51" localSheetId="6">#REF!</definedName>
    <definedName name="data51" localSheetId="37">#REF!</definedName>
    <definedName name="data51">#REF!</definedName>
    <definedName name="data52" localSheetId="6">#REF!</definedName>
    <definedName name="data52" localSheetId="37">#REF!</definedName>
    <definedName name="data52">#REF!</definedName>
    <definedName name="data53" localSheetId="6">#REF!</definedName>
    <definedName name="data53" localSheetId="37">#REF!</definedName>
    <definedName name="data53">#REF!</definedName>
    <definedName name="data54" localSheetId="6">#REF!</definedName>
    <definedName name="data54" localSheetId="37">#REF!</definedName>
    <definedName name="data54">#REF!</definedName>
    <definedName name="data55" localSheetId="6">#REF!</definedName>
    <definedName name="data55" localSheetId="37">#REF!</definedName>
    <definedName name="data55">#REF!</definedName>
    <definedName name="data56" localSheetId="6">#REF!</definedName>
    <definedName name="data56" localSheetId="37">#REF!</definedName>
    <definedName name="data56">#REF!</definedName>
    <definedName name="data57" localSheetId="6">#REF!</definedName>
    <definedName name="data57" localSheetId="37">#REF!</definedName>
    <definedName name="data57">#REF!</definedName>
    <definedName name="data58" localSheetId="6">#REF!</definedName>
    <definedName name="data58" localSheetId="37">#REF!</definedName>
    <definedName name="data58">#REF!</definedName>
    <definedName name="data59" localSheetId="6">#REF!</definedName>
    <definedName name="data59" localSheetId="37">#REF!</definedName>
    <definedName name="data59">#REF!</definedName>
    <definedName name="data6" localSheetId="6">#REF!</definedName>
    <definedName name="data6" localSheetId="37">#REF!</definedName>
    <definedName name="data6">#REF!</definedName>
    <definedName name="data60" localSheetId="6">#REF!</definedName>
    <definedName name="data60" localSheetId="37">#REF!</definedName>
    <definedName name="data60">#REF!</definedName>
    <definedName name="data61" localSheetId="6">#REF!</definedName>
    <definedName name="data61" localSheetId="37">#REF!</definedName>
    <definedName name="data61">#REF!</definedName>
    <definedName name="data62" localSheetId="6">#REF!</definedName>
    <definedName name="data62" localSheetId="37">#REF!</definedName>
    <definedName name="data62">#REF!</definedName>
    <definedName name="data63" localSheetId="6">#REF!</definedName>
    <definedName name="data63" localSheetId="37">#REF!</definedName>
    <definedName name="data63">#REF!</definedName>
    <definedName name="data64" localSheetId="7">[10]Invoice!$D$39</definedName>
    <definedName name="data64" localSheetId="8">[10]Invoice!$D$39</definedName>
    <definedName name="data64" localSheetId="9">[10]Invoice!$D$39</definedName>
    <definedName name="data64" localSheetId="10">[10]Invoice!$D$39</definedName>
    <definedName name="data64" localSheetId="11">[10]Invoice!$D$39</definedName>
    <definedName name="data64" localSheetId="12">[10]Invoice!$D$39</definedName>
    <definedName name="data64" localSheetId="13">[10]Invoice!$D$39</definedName>
    <definedName name="data64" localSheetId="14">[10]Invoice!$D$39</definedName>
    <definedName name="data64" localSheetId="15">[10]Invoice!$D$39</definedName>
    <definedName name="data64" localSheetId="16">[10]Invoice!$D$39</definedName>
    <definedName name="data64" localSheetId="17">[10]Invoice!$D$39</definedName>
    <definedName name="data64" localSheetId="18">[10]Invoice!$D$39</definedName>
    <definedName name="data64" localSheetId="19">[10]Invoice!$D$39</definedName>
    <definedName name="data64" localSheetId="20">[10]Invoice!$D$39</definedName>
    <definedName name="data64" localSheetId="21">[10]Invoice!$D$39</definedName>
    <definedName name="data64" localSheetId="22">[10]Invoice!$D$39</definedName>
    <definedName name="data64" localSheetId="23">[10]Invoice!$D$39</definedName>
    <definedName name="data64" localSheetId="24">[10]Invoice!$D$39</definedName>
    <definedName name="data64" localSheetId="6">#REF!</definedName>
    <definedName name="data64" localSheetId="25">[10]Invoice!$D$39</definedName>
    <definedName name="data64" localSheetId="26">[10]Invoice!$D$39</definedName>
    <definedName name="data64" localSheetId="27">[10]Invoice!$D$39</definedName>
    <definedName name="data64" localSheetId="37">[11]Invoice!$D$39</definedName>
    <definedName name="data64">#REF!</definedName>
    <definedName name="data65" localSheetId="6">#REF!</definedName>
    <definedName name="data65" localSheetId="37">#REF!</definedName>
    <definedName name="data65">#REF!</definedName>
    <definedName name="data66" localSheetId="6">#REF!</definedName>
    <definedName name="data66" localSheetId="37">#REF!</definedName>
    <definedName name="data66">#REF!</definedName>
    <definedName name="data67" localSheetId="6">#REF!</definedName>
    <definedName name="data67" localSheetId="37">#REF!</definedName>
    <definedName name="data67">#REF!</definedName>
    <definedName name="data68" localSheetId="6">#REF!</definedName>
    <definedName name="data68" localSheetId="37">#REF!</definedName>
    <definedName name="data68">#REF!</definedName>
    <definedName name="data69" localSheetId="6">#REF!</definedName>
    <definedName name="data69" localSheetId="37">#REF!</definedName>
    <definedName name="data69">#REF!</definedName>
    <definedName name="data7" localSheetId="6">#REF!</definedName>
    <definedName name="data7" localSheetId="37">#REF!</definedName>
    <definedName name="data7">#REF!</definedName>
    <definedName name="data70" localSheetId="6">#REF!</definedName>
    <definedName name="data70" localSheetId="37">#REF!</definedName>
    <definedName name="data70">#REF!</definedName>
    <definedName name="data8" localSheetId="7">#REF!</definedName>
    <definedName name="data8" localSheetId="8">#REF!</definedName>
    <definedName name="data8" localSheetId="9">#REF!</definedName>
    <definedName name="data8" localSheetId="10">#REF!</definedName>
    <definedName name="data8" localSheetId="11">#REF!</definedName>
    <definedName name="data8" localSheetId="12">#REF!</definedName>
    <definedName name="data8" localSheetId="13">#REF!</definedName>
    <definedName name="data8" localSheetId="14">#REF!</definedName>
    <definedName name="data8" localSheetId="15">#REF!</definedName>
    <definedName name="data8" localSheetId="16">#REF!</definedName>
    <definedName name="data8" localSheetId="17">#REF!</definedName>
    <definedName name="data8" localSheetId="18">#REF!</definedName>
    <definedName name="data8" localSheetId="19">#REF!</definedName>
    <definedName name="data8" localSheetId="20">#REF!</definedName>
    <definedName name="data8" localSheetId="21">#REF!</definedName>
    <definedName name="data8" localSheetId="22">#REF!</definedName>
    <definedName name="data8" localSheetId="23">#REF!</definedName>
    <definedName name="data8" localSheetId="24">#REF!</definedName>
    <definedName name="data8" localSheetId="6">#REF!</definedName>
    <definedName name="data8" localSheetId="25">#REF!</definedName>
    <definedName name="data8" localSheetId="26">#REF!</definedName>
    <definedName name="data8" localSheetId="27">#REF!</definedName>
    <definedName name="data8" localSheetId="37">#REF!</definedName>
    <definedName name="data8">#REF!</definedName>
    <definedName name="data9" localSheetId="6">#REF!</definedName>
    <definedName name="data9" localSheetId="37">#REF!</definedName>
    <definedName name="data9">#REF!</definedName>
    <definedName name="DAYS">#REF!</definedName>
    <definedName name="DB">#REF!</definedName>
    <definedName name="DESCRIPTION" localSheetId="7">#REF!</definedName>
    <definedName name="DESCRIPTION" localSheetId="8">#REF!</definedName>
    <definedName name="DESCRIPTION" localSheetId="9">#REF!</definedName>
    <definedName name="DESCRIPTION" localSheetId="11">#REF!</definedName>
    <definedName name="DESCRIPTION" localSheetId="14">#REF!</definedName>
    <definedName name="DESCRIPTION" localSheetId="15">#REF!</definedName>
    <definedName name="DESCRIPTION" localSheetId="23">#REF!</definedName>
    <definedName name="DESCRIPTION" localSheetId="24">#REF!</definedName>
    <definedName name="DESCRIPTION" localSheetId="25">#REF!</definedName>
    <definedName name="DESCRIPTION" localSheetId="27">#REF!</definedName>
    <definedName name="DESCRIPTION">#REF!</definedName>
    <definedName name="dflt1" localSheetId="7">'[10]Customize Your Invoice'!$E$22</definedName>
    <definedName name="dflt1" localSheetId="8">'[10]Customize Your Invoice'!$E$22</definedName>
    <definedName name="dflt1" localSheetId="9">'[10]Customize Your Invoice'!$E$22</definedName>
    <definedName name="dflt1" localSheetId="10">'[10]Customize Your Invoice'!$E$22</definedName>
    <definedName name="dflt1" localSheetId="11">'[10]Customize Your Invoice'!$E$22</definedName>
    <definedName name="dflt1" localSheetId="12">'[10]Customize Your Invoice'!$E$22</definedName>
    <definedName name="dflt1" localSheetId="13">'[10]Customize Your Invoice'!$E$22</definedName>
    <definedName name="dflt1" localSheetId="14">'[10]Customize Your Invoice'!$E$22</definedName>
    <definedName name="dflt1" localSheetId="15">'[10]Customize Your Invoice'!$E$22</definedName>
    <definedName name="dflt1" localSheetId="16">'[10]Customize Your Invoice'!$E$22</definedName>
    <definedName name="dflt1" localSheetId="17">'[10]Customize Your Invoice'!$E$22</definedName>
    <definedName name="dflt1" localSheetId="18">'[10]Customize Your Invoice'!$E$22</definedName>
    <definedName name="dflt1" localSheetId="19">'[10]Customize Your Invoice'!$E$22</definedName>
    <definedName name="dflt1" localSheetId="20">'[10]Customize Your Invoice'!$E$22</definedName>
    <definedName name="dflt1" localSheetId="21">'[10]Customize Your Invoice'!$E$22</definedName>
    <definedName name="dflt1" localSheetId="22">'[10]Customize Your Invoice'!$E$22</definedName>
    <definedName name="dflt1" localSheetId="23">'[10]Customize Your Invoice'!$E$22</definedName>
    <definedName name="dflt1" localSheetId="24">'[10]Customize Your Invoice'!$E$22</definedName>
    <definedName name="dflt1" localSheetId="6">'[12]Customize Your Invoice'!$E$22</definedName>
    <definedName name="dflt1" localSheetId="25">'[10]Customize Your Invoice'!$E$22</definedName>
    <definedName name="dflt1" localSheetId="26">'[10]Customize Your Invoice'!$E$22</definedName>
    <definedName name="dflt1" localSheetId="27">'[10]Customize Your Invoice'!$E$22</definedName>
    <definedName name="dflt1" localSheetId="37">'[11]Customize Your Invoice'!$E$22</definedName>
    <definedName name="dflt1">'[13]Customize Your Invoice'!$E$22</definedName>
    <definedName name="dflt2" localSheetId="7">'[10]Customize Your Invoice'!$E$23</definedName>
    <definedName name="dflt2" localSheetId="8">'[10]Customize Your Invoice'!$E$23</definedName>
    <definedName name="dflt2" localSheetId="9">'[10]Customize Your Invoice'!$E$23</definedName>
    <definedName name="dflt2" localSheetId="10">'[10]Customize Your Invoice'!$E$23</definedName>
    <definedName name="dflt2" localSheetId="11">'[10]Customize Your Invoice'!$E$23</definedName>
    <definedName name="dflt2" localSheetId="12">'[10]Customize Your Invoice'!$E$23</definedName>
    <definedName name="dflt2" localSheetId="13">'[10]Customize Your Invoice'!$E$23</definedName>
    <definedName name="dflt2" localSheetId="14">'[10]Customize Your Invoice'!$E$23</definedName>
    <definedName name="dflt2" localSheetId="15">'[10]Customize Your Invoice'!$E$23</definedName>
    <definedName name="dflt2" localSheetId="16">'[10]Customize Your Invoice'!$E$23</definedName>
    <definedName name="dflt2" localSheetId="17">'[10]Customize Your Invoice'!$E$23</definedName>
    <definedName name="dflt2" localSheetId="18">'[10]Customize Your Invoice'!$E$23</definedName>
    <definedName name="dflt2" localSheetId="19">'[10]Customize Your Invoice'!$E$23</definedName>
    <definedName name="dflt2" localSheetId="20">'[10]Customize Your Invoice'!$E$23</definedName>
    <definedName name="dflt2" localSheetId="21">'[10]Customize Your Invoice'!$E$23</definedName>
    <definedName name="dflt2" localSheetId="22">'[10]Customize Your Invoice'!$E$23</definedName>
    <definedName name="dflt2" localSheetId="23">'[10]Customize Your Invoice'!$E$23</definedName>
    <definedName name="dflt2" localSheetId="24">'[10]Customize Your Invoice'!$E$23</definedName>
    <definedName name="dflt2" localSheetId="6">'[6]Customize Your Invoice'!$E$23</definedName>
    <definedName name="dflt2" localSheetId="25">'[10]Customize Your Invoice'!$E$23</definedName>
    <definedName name="dflt2" localSheetId="26">'[10]Customize Your Invoice'!$E$23</definedName>
    <definedName name="dflt2" localSheetId="27">'[10]Customize Your Invoice'!$E$23</definedName>
    <definedName name="dflt2" localSheetId="37">'[11]Customize Your Invoice'!$E$23</definedName>
    <definedName name="dflt2">'[8]Customize Your Invoice'!$E$23</definedName>
    <definedName name="dflt3" localSheetId="7">'[10]Customize Your Invoice'!$D$24</definedName>
    <definedName name="dflt3" localSheetId="8">'[10]Customize Your Invoice'!$D$24</definedName>
    <definedName name="dflt3" localSheetId="9">'[10]Customize Your Invoice'!$D$24</definedName>
    <definedName name="dflt3" localSheetId="10">'[10]Customize Your Invoice'!$D$24</definedName>
    <definedName name="dflt3" localSheetId="11">'[10]Customize Your Invoice'!$D$24</definedName>
    <definedName name="dflt3" localSheetId="12">'[10]Customize Your Invoice'!$D$24</definedName>
    <definedName name="dflt3" localSheetId="13">'[10]Customize Your Invoice'!$D$24</definedName>
    <definedName name="dflt3" localSheetId="14">'[10]Customize Your Invoice'!$D$24</definedName>
    <definedName name="dflt3" localSheetId="15">'[10]Customize Your Invoice'!$D$24</definedName>
    <definedName name="dflt3" localSheetId="16">'[10]Customize Your Invoice'!$D$24</definedName>
    <definedName name="dflt3" localSheetId="17">'[10]Customize Your Invoice'!$D$24</definedName>
    <definedName name="dflt3" localSheetId="18">'[10]Customize Your Invoice'!$D$24</definedName>
    <definedName name="dflt3" localSheetId="19">'[10]Customize Your Invoice'!$D$24</definedName>
    <definedName name="dflt3" localSheetId="20">'[10]Customize Your Invoice'!$D$24</definedName>
    <definedName name="dflt3" localSheetId="21">'[10]Customize Your Invoice'!$D$24</definedName>
    <definedName name="dflt3" localSheetId="22">'[10]Customize Your Invoice'!$D$24</definedName>
    <definedName name="dflt3" localSheetId="23">'[10]Customize Your Invoice'!$D$24</definedName>
    <definedName name="dflt3" localSheetId="24">'[10]Customize Your Invoice'!$D$24</definedName>
    <definedName name="dflt3" localSheetId="6">'[6]Customize Your Invoice'!$D$24</definedName>
    <definedName name="dflt3" localSheetId="25">'[10]Customize Your Invoice'!$D$24</definedName>
    <definedName name="dflt3" localSheetId="26">'[10]Customize Your Invoice'!$D$24</definedName>
    <definedName name="dflt3" localSheetId="27">'[10]Customize Your Invoice'!$D$24</definedName>
    <definedName name="dflt3" localSheetId="37">'[11]Customize Your Invoice'!$D$24</definedName>
    <definedName name="dflt3">'[8]Customize Your Invoice'!$D$24</definedName>
    <definedName name="dflt4" localSheetId="7">'[10]Customize Your Invoice'!$E$26</definedName>
    <definedName name="dflt4" localSheetId="8">'[10]Customize Your Invoice'!$E$26</definedName>
    <definedName name="dflt4" localSheetId="9">'[10]Customize Your Invoice'!$E$26</definedName>
    <definedName name="dflt4" localSheetId="10">'[10]Customize Your Invoice'!$E$26</definedName>
    <definedName name="dflt4" localSheetId="11">'[10]Customize Your Invoice'!$E$26</definedName>
    <definedName name="dflt4" localSheetId="12">'[10]Customize Your Invoice'!$E$26</definedName>
    <definedName name="dflt4" localSheetId="13">'[10]Customize Your Invoice'!$E$26</definedName>
    <definedName name="dflt4" localSheetId="14">'[10]Customize Your Invoice'!$E$26</definedName>
    <definedName name="dflt4" localSheetId="15">'[10]Customize Your Invoice'!$E$26</definedName>
    <definedName name="dflt4" localSheetId="16">'[10]Customize Your Invoice'!$E$26</definedName>
    <definedName name="dflt4" localSheetId="17">'[10]Customize Your Invoice'!$E$26</definedName>
    <definedName name="dflt4" localSheetId="18">'[10]Customize Your Invoice'!$E$26</definedName>
    <definedName name="dflt4" localSheetId="19">'[10]Customize Your Invoice'!$E$26</definedName>
    <definedName name="dflt4" localSheetId="20">'[10]Customize Your Invoice'!$E$26</definedName>
    <definedName name="dflt4" localSheetId="21">'[10]Customize Your Invoice'!$E$26</definedName>
    <definedName name="dflt4" localSheetId="22">'[10]Customize Your Invoice'!$E$26</definedName>
    <definedName name="dflt4" localSheetId="23">'[10]Customize Your Invoice'!$E$26</definedName>
    <definedName name="dflt4" localSheetId="24">'[10]Customize Your Invoice'!$E$26</definedName>
    <definedName name="dflt4" localSheetId="6">'[12]Customize Your Invoice'!$E$26</definedName>
    <definedName name="dflt4" localSheetId="25">'[10]Customize Your Invoice'!$E$26</definedName>
    <definedName name="dflt4" localSheetId="26">'[10]Customize Your Invoice'!$E$26</definedName>
    <definedName name="dflt4" localSheetId="27">'[10]Customize Your Invoice'!$E$26</definedName>
    <definedName name="dflt4">'[11]Customize Your Invoice'!$E$26</definedName>
    <definedName name="dflt5" localSheetId="7">'[10]Customize Your Invoice'!$E$27</definedName>
    <definedName name="dflt5" localSheetId="8">'[10]Customize Your Invoice'!$E$27</definedName>
    <definedName name="dflt5" localSheetId="9">'[10]Customize Your Invoice'!$E$27</definedName>
    <definedName name="dflt5" localSheetId="10">'[10]Customize Your Invoice'!$E$27</definedName>
    <definedName name="dflt5" localSheetId="11">'[10]Customize Your Invoice'!$E$27</definedName>
    <definedName name="dflt5" localSheetId="12">'[10]Customize Your Invoice'!$E$27</definedName>
    <definedName name="dflt5" localSheetId="13">'[10]Customize Your Invoice'!$E$27</definedName>
    <definedName name="dflt5" localSheetId="14">'[10]Customize Your Invoice'!$E$27</definedName>
    <definedName name="dflt5" localSheetId="15">'[10]Customize Your Invoice'!$E$27</definedName>
    <definedName name="dflt5" localSheetId="16">'[10]Customize Your Invoice'!$E$27</definedName>
    <definedName name="dflt5" localSheetId="17">'[10]Customize Your Invoice'!$E$27</definedName>
    <definedName name="dflt5" localSheetId="18">'[10]Customize Your Invoice'!$E$27</definedName>
    <definedName name="dflt5" localSheetId="19">'[10]Customize Your Invoice'!$E$27</definedName>
    <definedName name="dflt5" localSheetId="20">'[10]Customize Your Invoice'!$E$27</definedName>
    <definedName name="dflt5" localSheetId="21">'[10]Customize Your Invoice'!$E$27</definedName>
    <definedName name="dflt5" localSheetId="22">'[10]Customize Your Invoice'!$E$27</definedName>
    <definedName name="dflt5" localSheetId="23">'[10]Customize Your Invoice'!$E$27</definedName>
    <definedName name="dflt5" localSheetId="24">'[10]Customize Your Invoice'!$E$27</definedName>
    <definedName name="dflt5" localSheetId="25">'[10]Customize Your Invoice'!$E$27</definedName>
    <definedName name="dflt5" localSheetId="26">'[10]Customize Your Invoice'!$E$27</definedName>
    <definedName name="dflt5" localSheetId="27">'[10]Customize Your Invoice'!$E$27</definedName>
    <definedName name="dflt5">'[11]Customize Your Invoice'!$E$27</definedName>
    <definedName name="dflt6" localSheetId="7">'[10]Customize Your Invoice'!$D$28</definedName>
    <definedName name="dflt6" localSheetId="8">'[10]Customize Your Invoice'!$D$28</definedName>
    <definedName name="dflt6" localSheetId="9">'[10]Customize Your Invoice'!$D$28</definedName>
    <definedName name="dflt6" localSheetId="10">'[10]Customize Your Invoice'!$D$28</definedName>
    <definedName name="dflt6" localSheetId="11">'[10]Customize Your Invoice'!$D$28</definedName>
    <definedName name="dflt6" localSheetId="12">'[10]Customize Your Invoice'!$D$28</definedName>
    <definedName name="dflt6" localSheetId="13">'[10]Customize Your Invoice'!$D$28</definedName>
    <definedName name="dflt6" localSheetId="14">'[10]Customize Your Invoice'!$D$28</definedName>
    <definedName name="dflt6" localSheetId="15">'[10]Customize Your Invoice'!$D$28</definedName>
    <definedName name="dflt6" localSheetId="16">'[10]Customize Your Invoice'!$D$28</definedName>
    <definedName name="dflt6" localSheetId="17">'[10]Customize Your Invoice'!$D$28</definedName>
    <definedName name="dflt6" localSheetId="18">'[10]Customize Your Invoice'!$D$28</definedName>
    <definedName name="dflt6" localSheetId="19">'[10]Customize Your Invoice'!$D$28</definedName>
    <definedName name="dflt6" localSheetId="20">'[10]Customize Your Invoice'!$D$28</definedName>
    <definedName name="dflt6" localSheetId="21">'[10]Customize Your Invoice'!$D$28</definedName>
    <definedName name="dflt6" localSheetId="22">'[10]Customize Your Invoice'!$D$28</definedName>
    <definedName name="dflt6" localSheetId="23">'[10]Customize Your Invoice'!$D$28</definedName>
    <definedName name="dflt6" localSheetId="24">'[10]Customize Your Invoice'!$D$28</definedName>
    <definedName name="dflt6" localSheetId="25">'[10]Customize Your Invoice'!$D$28</definedName>
    <definedName name="dflt6" localSheetId="26">'[10]Customize Your Invoice'!$D$28</definedName>
    <definedName name="dflt6" localSheetId="27">'[10]Customize Your Invoice'!$D$28</definedName>
    <definedName name="dflt6">'[11]Customize Your Invoice'!$D$28</definedName>
    <definedName name="display_area_2" localSheetId="6">#REF!</definedName>
    <definedName name="display_area_2" localSheetId="37">#REF!</definedName>
    <definedName name="display_area_2">#REF!</definedName>
    <definedName name="DLYN">#N/A</definedName>
    <definedName name="DOTPRINT">#REF!</definedName>
    <definedName name="DOUBLE_H.S_ASS">#REF!</definedName>
    <definedName name="DROP">#REF!</definedName>
    <definedName name="DxLoss1">[5]Calcs!$J$61</definedName>
    <definedName name="DxLoss2">[5]Calcs!$J$62</definedName>
    <definedName name="DxLoss3">[5]Calcs!$J$63</definedName>
    <definedName name="DxLoss4">[5]Calcs!$J$64</definedName>
    <definedName name="EnviroLevy">[14]Calcs!$H$105</definedName>
    <definedName name="EnviroOPT">[14]Calcs!$B$88</definedName>
    <definedName name="EnvLevyINrate">[14]Calcs!$B$89</definedName>
    <definedName name="Evaluation" localSheetId="7">#REF!</definedName>
    <definedName name="Evaluation" localSheetId="8">#REF!</definedName>
    <definedName name="Evaluation" localSheetId="9">#REF!</definedName>
    <definedName name="Evaluation" localSheetId="10">#REF!</definedName>
    <definedName name="Evaluation" localSheetId="11">#REF!</definedName>
    <definedName name="Evaluation" localSheetId="12">#REF!</definedName>
    <definedName name="Evaluation" localSheetId="13">#REF!</definedName>
    <definedName name="Evaluation" localSheetId="14">#REF!</definedName>
    <definedName name="Evaluation" localSheetId="15">#REF!</definedName>
    <definedName name="Evaluation" localSheetId="16">#REF!</definedName>
    <definedName name="Evaluation" localSheetId="17">#REF!</definedName>
    <definedName name="Evaluation" localSheetId="18">#REF!</definedName>
    <definedName name="Evaluation" localSheetId="19">#REF!</definedName>
    <definedName name="Evaluation" localSheetId="20">#REF!</definedName>
    <definedName name="Evaluation" localSheetId="21">#REF!</definedName>
    <definedName name="Evaluation" localSheetId="22">#REF!</definedName>
    <definedName name="Evaluation" localSheetId="23">#REF!</definedName>
    <definedName name="Evaluation" localSheetId="24">#REF!</definedName>
    <definedName name="Evaluation" localSheetId="25">#REF!</definedName>
    <definedName name="Evaluation" localSheetId="26">#REF!</definedName>
    <definedName name="Evaluation" localSheetId="27">#REF!</definedName>
    <definedName name="Evaluation">#REF!</definedName>
    <definedName name="Excel_BuiltIn_Print_Titles_10">'[15]EPWP _2'!#REF!</definedName>
    <definedName name="EXEREP">#REF!</definedName>
    <definedName name="_xlnm.Extract">[16]BILL!$K$3:$K$16</definedName>
    <definedName name="Extract_MI">[16]BILL!$K$3:$K$16</definedName>
    <definedName name="Factor">[17]Calcs!$G$13</definedName>
    <definedName name="FEECALC">#REF!</definedName>
    <definedName name="FIN">#REF!</definedName>
    <definedName name="FLAG">#REF!</definedName>
    <definedName name="FMO">#REF!</definedName>
    <definedName name="FOUND">#REF!</definedName>
    <definedName name="GRAFPRINT">#REF!</definedName>
    <definedName name="GRAPH">[1]A!$C$9:$L$52</definedName>
    <definedName name="H">#REF!</definedName>
    <definedName name="H.S_ASS">#REF!</definedName>
    <definedName name="H_B_KOSTE">#REF!</definedName>
    <definedName name="H_B_SKED">#REF!</definedName>
    <definedName name="H_BRON">#REF!</definedName>
    <definedName name="HEAD2">#REF!</definedName>
    <definedName name="HEADER">#REF!</definedName>
    <definedName name="HEADING">#REF!</definedName>
    <definedName name="ikygklk">#REF!</definedName>
    <definedName name="incESK">[5]Calcs!$H$97</definedName>
    <definedName name="incMUN">[5]Calcs!$H$98</definedName>
    <definedName name="INTAKE">#REF!</definedName>
    <definedName name="ITEM" localSheetId="7">#REF!</definedName>
    <definedName name="ITEM" localSheetId="8">#REF!</definedName>
    <definedName name="ITEM" localSheetId="9">#REF!</definedName>
    <definedName name="ITEM" localSheetId="10">#REF!</definedName>
    <definedName name="ITEM" localSheetId="11">#REF!</definedName>
    <definedName name="ITEM" localSheetId="12">#REF!</definedName>
    <definedName name="ITEM" localSheetId="13">#REF!</definedName>
    <definedName name="ITEM" localSheetId="14">#REF!</definedName>
    <definedName name="ITEM" localSheetId="15">#REF!</definedName>
    <definedName name="ITEM" localSheetId="16">#REF!</definedName>
    <definedName name="ITEM" localSheetId="17">#REF!</definedName>
    <definedName name="ITEM" localSheetId="18">#REF!</definedName>
    <definedName name="ITEM" localSheetId="19">#REF!</definedName>
    <definedName name="ITEM" localSheetId="20">#REF!</definedName>
    <definedName name="ITEM" localSheetId="21">#REF!</definedName>
    <definedName name="ITEM" localSheetId="22">#REF!</definedName>
    <definedName name="ITEM" localSheetId="23">#REF!</definedName>
    <definedName name="ITEM" localSheetId="24">#REF!</definedName>
    <definedName name="ITEM" localSheetId="25">#REF!</definedName>
    <definedName name="ITEM" localSheetId="26">#REF!</definedName>
    <definedName name="ITEM" localSheetId="27">#REF!</definedName>
    <definedName name="item">#REF!</definedName>
    <definedName name="ITEM_NO">#REF!</definedName>
    <definedName name="Items_01" localSheetId="7">#REF!</definedName>
    <definedName name="Items_01" localSheetId="8">#REF!</definedName>
    <definedName name="Items_01" localSheetId="9">#REF!</definedName>
    <definedName name="Items_01" localSheetId="10">#REF!</definedName>
    <definedName name="Items_01" localSheetId="11">#REF!</definedName>
    <definedName name="Items_01" localSheetId="12">#REF!</definedName>
    <definedName name="Items_01" localSheetId="13">#REF!</definedName>
    <definedName name="Items_01" localSheetId="14">#REF!</definedName>
    <definedName name="Items_01" localSheetId="15">#REF!</definedName>
    <definedName name="Items_01" localSheetId="16">#REF!</definedName>
    <definedName name="Items_01" localSheetId="17">#REF!</definedName>
    <definedName name="Items_01" localSheetId="18">#REF!</definedName>
    <definedName name="Items_01" localSheetId="19">#REF!</definedName>
    <definedName name="Items_01" localSheetId="20">#REF!</definedName>
    <definedName name="Items_01" localSheetId="21">#REF!</definedName>
    <definedName name="Items_01" localSheetId="22">#REF!</definedName>
    <definedName name="Items_01" localSheetId="23">#REF!</definedName>
    <definedName name="Items_01" localSheetId="24">#REF!</definedName>
    <definedName name="Items_01" localSheetId="6">#REF!</definedName>
    <definedName name="Items_01" localSheetId="25">#REF!</definedName>
    <definedName name="Items_01" localSheetId="26">#REF!</definedName>
    <definedName name="Items_01" localSheetId="27">#REF!</definedName>
    <definedName name="Items_01">#REF!</definedName>
    <definedName name="letter">#REF!</definedName>
    <definedName name="LYN">#N/A</definedName>
    <definedName name="M">#REF!</definedName>
    <definedName name="MAK">#REF!</definedName>
    <definedName name="MANURE">#REF!</definedName>
    <definedName name="MAST">#REF!</definedName>
    <definedName name="MAT_TOGGLE">#REF!</definedName>
    <definedName name="MAT_UNIT_TOGGLE">#REF!</definedName>
    <definedName name="mos">#REF!</definedName>
    <definedName name="NEC">#REF!</definedName>
    <definedName name="ni">#REF!</definedName>
    <definedName name="NLQPRINT">#REF!</definedName>
    <definedName name="NO" localSheetId="6">#REF!</definedName>
    <definedName name="NO" localSheetId="37">#REF!</definedName>
    <definedName name="NO">#REF!</definedName>
    <definedName name="NPRA" localSheetId="7" hidden="1">#REF!</definedName>
    <definedName name="NPRA" localSheetId="8" hidden="1">#REF!</definedName>
    <definedName name="NPRA" localSheetId="9" hidden="1">#REF!</definedName>
    <definedName name="NPRA" localSheetId="10" hidden="1">#REF!</definedName>
    <definedName name="NPRA" localSheetId="11" hidden="1">#REF!</definedName>
    <definedName name="NPRA" localSheetId="12" hidden="1">#REF!</definedName>
    <definedName name="NPRA" localSheetId="13" hidden="1">#REF!</definedName>
    <definedName name="NPRA" localSheetId="14" hidden="1">#REF!</definedName>
    <definedName name="NPRA" localSheetId="15" hidden="1">#REF!</definedName>
    <definedName name="NPRA" localSheetId="16" hidden="1">#REF!</definedName>
    <definedName name="NPRA" localSheetId="17" hidden="1">#REF!</definedName>
    <definedName name="NPRA" localSheetId="18" hidden="1">#REF!</definedName>
    <definedName name="NPRA" localSheetId="19" hidden="1">#REF!</definedName>
    <definedName name="NPRA" localSheetId="20" hidden="1">#REF!</definedName>
    <definedName name="NPRA" localSheetId="21" hidden="1">#REF!</definedName>
    <definedName name="NPRA" localSheetId="22" hidden="1">#REF!</definedName>
    <definedName name="NPRA" localSheetId="23" hidden="1">#REF!</definedName>
    <definedName name="NPRA" localSheetId="24" hidden="1">#REF!</definedName>
    <definedName name="NPRA" localSheetId="25" hidden="1">#REF!</definedName>
    <definedName name="NPRA" localSheetId="26" hidden="1">#REF!</definedName>
    <definedName name="NPRA" localSheetId="27" hidden="1">#REF!</definedName>
    <definedName name="NPRA" hidden="1">#REF!</definedName>
    <definedName name="NUL">#N/A</definedName>
    <definedName name="O_H_LAB">#REF!</definedName>
    <definedName name="O_H_MAT">#REF!</definedName>
    <definedName name="O_H_OTHER">#REF!</definedName>
    <definedName name="O_H_PLANT">#REF!</definedName>
    <definedName name="O_H_TOG">#REF!</definedName>
    <definedName name="O_L">#REF!</definedName>
    <definedName name="OFF_AND_STORE">#REF!</definedName>
    <definedName name="Old">[18]SCHED3!$A$1:$H$301</definedName>
    <definedName name="P_COST">#REF!</definedName>
    <definedName name="PAGE1">#REF!</definedName>
    <definedName name="PAGE2">#REF!</definedName>
    <definedName name="PAGE3">#REF!</definedName>
    <definedName name="PAINT">#REF!</definedName>
    <definedName name="PAYMENT_REFERS">#REF!</definedName>
    <definedName name="PERSENT">#REF!</definedName>
    <definedName name="PIPELINE">#REF!</definedName>
    <definedName name="PNT_BLOCK">#REF!</definedName>
    <definedName name="PO">#REF!</definedName>
    <definedName name="PPO">#REF!</definedName>
    <definedName name="PPO_D.H.S">#REF!</definedName>
    <definedName name="PPO_H.S">#REF!</definedName>
    <definedName name="PPO_S.A">#REF!</definedName>
    <definedName name="PRINT">#REF!</definedName>
    <definedName name="_xlnm.Print_Area" localSheetId="29">'10-Office Blocks EL'!$A$1:$G$129</definedName>
    <definedName name="_xlnm.Print_Area" localSheetId="30">'11-WORKSHOP'!$A$1:$G$78</definedName>
    <definedName name="_xlnm.Print_Area" localSheetId="34">'12-PLANT'!$A$1:$I$51</definedName>
    <definedName name="_xlnm.Print_Area" localSheetId="31">'12-WORKSHOP EL'!$A$1:$G$92</definedName>
    <definedName name="_xlnm.Print_Area" localSheetId="32">'13-ABLUTION'!$A$1:$G$318</definedName>
    <definedName name="_xlnm.Print_Area" localSheetId="35">'13-V.O.'!$A$1:$G$52</definedName>
    <definedName name="_xlnm.Print_Area" localSheetId="33">'14-ABLUTION EL'!$A$1:$G$83</definedName>
    <definedName name="_xlnm.Print_Area" localSheetId="7">'1500 '!$A$1:$F$82</definedName>
    <definedName name="_xlnm.Print_Area" localSheetId="8">'1700'!$A$1:$F$53</definedName>
    <definedName name="_xlnm.Print_Area" localSheetId="2">'1-P&amp;G''s '!$A$1:$H$244</definedName>
    <definedName name="_xlnm.Print_Area" localSheetId="9">'2100'!$A$1:$F$59</definedName>
    <definedName name="_xlnm.Print_Area" localSheetId="10">'2200'!$A$1:$F$38</definedName>
    <definedName name="_xlnm.Print_Area" localSheetId="11">'2300'!$A$1:$F$67</definedName>
    <definedName name="_xlnm.Print_Area" localSheetId="3">'2-Landfill Cells'!$A$1:$H$170</definedName>
    <definedName name="_xlnm.Print_Area" localSheetId="12">'3100'!$A$1:$F$57</definedName>
    <definedName name="_xlnm.Print_Area" localSheetId="13">'3300'!$A$1:$F$58</definedName>
    <definedName name="_xlnm.Print_Area" localSheetId="14">'3400 '!$A$1:$F$52</definedName>
    <definedName name="_xlnm.Print_Area" localSheetId="15">'3500'!$A$1:$F$70</definedName>
    <definedName name="_xlnm.Print_Area" localSheetId="4">'3-Leachate Pond'!$A$1:$H$144</definedName>
    <definedName name="_xlnm.Print_Area" localSheetId="5">'4-Drainage'!$A$1:$H$73</definedName>
    <definedName name="_xlnm.Print_Area" localSheetId="19">'5100'!$A$1:$F$21</definedName>
    <definedName name="_xlnm.Print_Area" localSheetId="20">'5200'!$A$1:$F$42</definedName>
    <definedName name="_xlnm.Print_Area" localSheetId="21">'5400'!$A$1:$F$40</definedName>
    <definedName name="_xlnm.Print_Area" localSheetId="22">'5600'!$A$1:$F$62</definedName>
    <definedName name="_xlnm.Print_Area" localSheetId="23">'5700'!$A$1:$H$56</definedName>
    <definedName name="_xlnm.Print_Area" localSheetId="24">'5900'!$A$1:$F$56</definedName>
    <definedName name="_xlnm.Print_Area" localSheetId="6">'5-Structural Works'!$A$1:$L$349</definedName>
    <definedName name="_xlnm.Print_Area" localSheetId="25">'7300'!$A$1:$F$53</definedName>
    <definedName name="_xlnm.Print_Area" localSheetId="26">'8100'!$A$1:$F$58</definedName>
    <definedName name="_xlnm.Print_Area" localSheetId="28">'9-Office Blocks'!$A$1:$G$361</definedName>
    <definedName name="_xlnm.Print_Area" localSheetId="0">'Contractor Cover Sheet IPC 1'!$A$1:$W$69</definedName>
    <definedName name="_xlnm.Print_Area" localSheetId="27">'GENERAL SUMMARY '!$A$1:$C$25</definedName>
    <definedName name="_xlnm.Print_Area" localSheetId="1">'IA CERTIFICATE '!$A$1:$L$120</definedName>
    <definedName name="_xlnm.Print_Area" localSheetId="37">'[19]Form 1'!$A$1:$L$56</definedName>
    <definedName name="_xlnm.Print_Area" localSheetId="36">Summary!$A$1:$K$39</definedName>
    <definedName name="_xlnm.Print_Area">'[20]Summary - Construction'!$A$1:$K$44</definedName>
    <definedName name="Print_Area_MI">#REF!</definedName>
    <definedName name="Print_area1">'[21]Form 1'!$A$1:$L$56</definedName>
    <definedName name="print_area2_mi">#REF!</definedName>
    <definedName name="_xlnm.Print_Titles" localSheetId="29">'10-Office Blocks EL'!$1:$5</definedName>
    <definedName name="_xlnm.Print_Titles" localSheetId="31">'12-WORKSHOP EL'!$1:$5</definedName>
    <definedName name="_xlnm.Print_Titles" localSheetId="32">'13-ABLUTION'!$1:$5</definedName>
    <definedName name="_xlnm.Print_Titles" localSheetId="33">'14-ABLUTION EL'!$1:$5</definedName>
    <definedName name="_xlnm.Print_Titles" localSheetId="7">'1500 '!$1:$8</definedName>
    <definedName name="_xlnm.Print_Titles" localSheetId="2">'1-P&amp;G''s '!$1:$5</definedName>
    <definedName name="_xlnm.Print_Titles" localSheetId="9">'2100'!$1:$8</definedName>
    <definedName name="_xlnm.Print_Titles" localSheetId="11">'2300'!$1:$8</definedName>
    <definedName name="_xlnm.Print_Titles" localSheetId="3">'2-Landfill Cells'!$1:$5</definedName>
    <definedName name="_xlnm.Print_Titles" localSheetId="4">'3-Leachate Pond'!$1:$5</definedName>
    <definedName name="_xlnm.Print_Titles" localSheetId="5">'4-Drainage'!$1:$5</definedName>
    <definedName name="_xlnm.Print_Titles" localSheetId="28">'9-Office Blocks'!$1:$5</definedName>
    <definedName name="_xlnm.Print_Titles" localSheetId="36">Summary!$1:$3</definedName>
    <definedName name="_xlnm.Print_Titles">#REF!</definedName>
    <definedName name="PRINT_TITLES_MI">#REF!</definedName>
    <definedName name="PROJ_DURATION">#REF!</definedName>
    <definedName name="PROJFIN">#REF!</definedName>
    <definedName name="pSummary">#REF!</definedName>
    <definedName name="PubMaint">[5]Calcs!$H$108</definedName>
    <definedName name="QUANT" localSheetId="7">#REF!</definedName>
    <definedName name="QUANT" localSheetId="8">#REF!</definedName>
    <definedName name="QUANT" localSheetId="9">#REF!</definedName>
    <definedName name="QUANT" localSheetId="11">#REF!</definedName>
    <definedName name="QUANT" localSheetId="14">#REF!</definedName>
    <definedName name="QUANT" localSheetId="15">#REF!</definedName>
    <definedName name="QUANT" localSheetId="23">#REF!</definedName>
    <definedName name="QUANT" localSheetId="24">#REF!</definedName>
    <definedName name="QUANT" localSheetId="25">#REF!</definedName>
    <definedName name="QUANT" localSheetId="27">#REF!</definedName>
    <definedName name="QUANT">#REF!</definedName>
    <definedName name="QUANTITY">#REF!</definedName>
    <definedName name="qzqzqz10" localSheetId="6">#REF!</definedName>
    <definedName name="qzqzqz10" localSheetId="37">#REF!</definedName>
    <definedName name="qzqzqz10">#REF!</definedName>
    <definedName name="qzqzqz11" localSheetId="6">#REF!</definedName>
    <definedName name="qzqzqz11" localSheetId="37">#REF!</definedName>
    <definedName name="qzqzqz11">#REF!</definedName>
    <definedName name="qzqzqz12" localSheetId="6">#REF!</definedName>
    <definedName name="qzqzqz12" localSheetId="37">#REF!</definedName>
    <definedName name="qzqzqz12">#REF!</definedName>
    <definedName name="qzqzqz13" localSheetId="6">#REF!</definedName>
    <definedName name="qzqzqz13" localSheetId="37">#REF!</definedName>
    <definedName name="qzqzqz13">#REF!</definedName>
    <definedName name="qzqzqz14" localSheetId="6">#REF!</definedName>
    <definedName name="qzqzqz14" localSheetId="37">#REF!</definedName>
    <definedName name="qzqzqz14">#REF!</definedName>
    <definedName name="qzqzqz15" localSheetId="6">#REF!</definedName>
    <definedName name="qzqzqz15" localSheetId="37">#REF!</definedName>
    <definedName name="qzqzqz15">#REF!</definedName>
    <definedName name="qzqzqz16" localSheetId="6">#REF!</definedName>
    <definedName name="qzqzqz16" localSheetId="37">#REF!</definedName>
    <definedName name="qzqzqz16">#REF!</definedName>
    <definedName name="qzqzqz17" localSheetId="6">#REF!</definedName>
    <definedName name="qzqzqz17" localSheetId="37">#REF!</definedName>
    <definedName name="qzqzqz17">#REF!</definedName>
    <definedName name="qzqzqz18" localSheetId="6">#REF!</definedName>
    <definedName name="qzqzqz18" localSheetId="37">#REF!</definedName>
    <definedName name="qzqzqz18">#REF!</definedName>
    <definedName name="qzqzqz19" localSheetId="6">#REF!</definedName>
    <definedName name="qzqzqz19" localSheetId="37">#REF!</definedName>
    <definedName name="qzqzqz19">#REF!</definedName>
    <definedName name="qzqzqz20" localSheetId="6">#REF!</definedName>
    <definedName name="qzqzqz20" localSheetId="37">#REF!</definedName>
    <definedName name="qzqzqz20">#REF!</definedName>
    <definedName name="qzqzqz21" localSheetId="6">#REF!</definedName>
    <definedName name="qzqzqz21" localSheetId="37">#REF!</definedName>
    <definedName name="qzqzqz21">#REF!</definedName>
    <definedName name="qzqzqz22" localSheetId="6">#REF!</definedName>
    <definedName name="qzqzqz22" localSheetId="37">#REF!</definedName>
    <definedName name="qzqzqz22">#REF!</definedName>
    <definedName name="qzqzqz23" localSheetId="6">#REF!</definedName>
    <definedName name="qzqzqz23" localSheetId="37">#REF!</definedName>
    <definedName name="qzqzqz23">#REF!</definedName>
    <definedName name="qzqzqz24" localSheetId="6">#REF!</definedName>
    <definedName name="qzqzqz24" localSheetId="37">#REF!</definedName>
    <definedName name="qzqzqz24">#REF!</definedName>
    <definedName name="qzqzqz25" localSheetId="6">#REF!</definedName>
    <definedName name="qzqzqz25" localSheetId="37">#REF!</definedName>
    <definedName name="qzqzqz25">#REF!</definedName>
    <definedName name="qzqzqz26" localSheetId="6">#REF!</definedName>
    <definedName name="qzqzqz26" localSheetId="37">#REF!</definedName>
    <definedName name="qzqzqz26">#REF!</definedName>
    <definedName name="qzqzqz27" localSheetId="6">#REF!</definedName>
    <definedName name="qzqzqz27" localSheetId="37">#REF!</definedName>
    <definedName name="qzqzqz27">#REF!</definedName>
    <definedName name="qzqzqz28" localSheetId="6">#REF!</definedName>
    <definedName name="qzqzqz28" localSheetId="37">#REF!</definedName>
    <definedName name="qzqzqz28">#REF!</definedName>
    <definedName name="qzqzqz29" localSheetId="6">#REF!</definedName>
    <definedName name="qzqzqz29" localSheetId="37">#REF!</definedName>
    <definedName name="qzqzqz29">#REF!</definedName>
    <definedName name="qzqzqz30" localSheetId="6">#REF!</definedName>
    <definedName name="qzqzqz30" localSheetId="37">#REF!</definedName>
    <definedName name="qzqzqz30">#REF!</definedName>
    <definedName name="qzqzqz31" localSheetId="6">#REF!</definedName>
    <definedName name="qzqzqz31" localSheetId="37">#REF!</definedName>
    <definedName name="qzqzqz31">#REF!</definedName>
    <definedName name="qzqzqz32" localSheetId="6">#REF!</definedName>
    <definedName name="qzqzqz32" localSheetId="37">#REF!</definedName>
    <definedName name="qzqzqz32">#REF!</definedName>
    <definedName name="qzqzqz6" localSheetId="6">#REF!</definedName>
    <definedName name="qzqzqz6" localSheetId="37">#REF!</definedName>
    <definedName name="qzqzqz6">#REF!</definedName>
    <definedName name="qzqzqz7" localSheetId="6">#REF!</definedName>
    <definedName name="qzqzqz7" localSheetId="37">#REF!</definedName>
    <definedName name="qzqzqz7">#REF!</definedName>
    <definedName name="qzqzqz8" localSheetId="6">#REF!</definedName>
    <definedName name="qzqzqz8" localSheetId="37">#REF!</definedName>
    <definedName name="qzqzqz8">#REF!</definedName>
    <definedName name="qzqzqz9" localSheetId="6">#REF!</definedName>
    <definedName name="qzqzqz9" localSheetId="37">#REF!</definedName>
    <definedName name="qzqzqz9">#REF!</definedName>
    <definedName name="RAMING_AANHEF">#N/A</definedName>
    <definedName name="RATE" localSheetId="7">#REF!</definedName>
    <definedName name="RATE" localSheetId="8">#REF!</definedName>
    <definedName name="RATE" localSheetId="9">#REF!</definedName>
    <definedName name="RATE" localSheetId="10">#REF!</definedName>
    <definedName name="RATE" localSheetId="11">#REF!</definedName>
    <definedName name="RATE" localSheetId="12">#REF!</definedName>
    <definedName name="RATE" localSheetId="13">#REF!</definedName>
    <definedName name="RATE" localSheetId="14">#REF!</definedName>
    <definedName name="RATE" localSheetId="15">#REF!</definedName>
    <definedName name="RATE" localSheetId="16">#REF!</definedName>
    <definedName name="RATE" localSheetId="17">#REF!</definedName>
    <definedName name="RATE" localSheetId="18">#REF!</definedName>
    <definedName name="RATE" localSheetId="19">#REF!</definedName>
    <definedName name="RATE" localSheetId="20">#REF!</definedName>
    <definedName name="RATE" localSheetId="21">#REF!</definedName>
    <definedName name="RATE" localSheetId="22">#REF!</definedName>
    <definedName name="RATE" localSheetId="23">#REF!</definedName>
    <definedName name="RATE" localSheetId="24">#REF!</definedName>
    <definedName name="RATE" localSheetId="25">#REF!</definedName>
    <definedName name="RATE" localSheetId="26">#REF!</definedName>
    <definedName name="RATE" localSheetId="27">#REF!</definedName>
    <definedName name="RATE">#REF!</definedName>
    <definedName name="REGIST">#REF!</definedName>
    <definedName name="RL">#REF!</definedName>
    <definedName name="S">#REF!</definedName>
    <definedName name="S.A_ASS">#REF!</definedName>
    <definedName name="S_COST">#REF!</definedName>
    <definedName name="SABSA1">#REF!</definedName>
    <definedName name="SCHED1" localSheetId="7">#REF!</definedName>
    <definedName name="SCHED1" localSheetId="8">#REF!</definedName>
    <definedName name="SCHED1" localSheetId="9">#REF!</definedName>
    <definedName name="SCHED1" localSheetId="10">#REF!</definedName>
    <definedName name="SCHED1" localSheetId="11">#REF!</definedName>
    <definedName name="SCHED1" localSheetId="12">#REF!</definedName>
    <definedName name="SCHED1" localSheetId="13">#REF!</definedName>
    <definedName name="SCHED1" localSheetId="14">#REF!</definedName>
    <definedName name="SCHED1" localSheetId="15">#REF!</definedName>
    <definedName name="SCHED1" localSheetId="16">#REF!</definedName>
    <definedName name="SCHED1" localSheetId="17">#REF!</definedName>
    <definedName name="SCHED1" localSheetId="18">#REF!</definedName>
    <definedName name="SCHED1" localSheetId="19">#REF!</definedName>
    <definedName name="SCHED1" localSheetId="20">#REF!</definedName>
    <definedName name="SCHED1" localSheetId="21">#REF!</definedName>
    <definedName name="SCHED1" localSheetId="22">#REF!</definedName>
    <definedName name="SCHED1" localSheetId="23">#REF!</definedName>
    <definedName name="SCHED1" localSheetId="24">#REF!</definedName>
    <definedName name="SCHED1" localSheetId="6">#REF!</definedName>
    <definedName name="SCHED1" localSheetId="25">#REF!</definedName>
    <definedName name="SCHED1" localSheetId="26">#REF!</definedName>
    <definedName name="SCHED1" localSheetId="27">#REF!</definedName>
    <definedName name="SCHED1">#REF!</definedName>
    <definedName name="SCHED2" localSheetId="7">#REF!</definedName>
    <definedName name="SCHED2" localSheetId="8">#REF!</definedName>
    <definedName name="SCHED2" localSheetId="9">#REF!</definedName>
    <definedName name="SCHED2" localSheetId="10">#REF!</definedName>
    <definedName name="SCHED2" localSheetId="11">#REF!</definedName>
    <definedName name="SCHED2" localSheetId="12">#REF!</definedName>
    <definedName name="SCHED2" localSheetId="13">#REF!</definedName>
    <definedName name="SCHED2" localSheetId="14">#REF!</definedName>
    <definedName name="SCHED2" localSheetId="15">#REF!</definedName>
    <definedName name="SCHED2" localSheetId="16">#REF!</definedName>
    <definedName name="SCHED2" localSheetId="17">#REF!</definedName>
    <definedName name="SCHED2" localSheetId="18">#REF!</definedName>
    <definedName name="SCHED2" localSheetId="19">#REF!</definedName>
    <definedName name="SCHED2" localSheetId="20">#REF!</definedName>
    <definedName name="SCHED2" localSheetId="21">#REF!</definedName>
    <definedName name="SCHED2" localSheetId="22">#REF!</definedName>
    <definedName name="SCHED2" localSheetId="23">#REF!</definedName>
    <definedName name="SCHED2" localSheetId="24">#REF!</definedName>
    <definedName name="SCHED2" localSheetId="6">#REF!</definedName>
    <definedName name="SCHED2" localSheetId="25">#REF!</definedName>
    <definedName name="SCHED2" localSheetId="26">#REF!</definedName>
    <definedName name="SCHED2" localSheetId="27">#REF!</definedName>
    <definedName name="SCHED2">#REF!</definedName>
    <definedName name="SCHED3">#REF!</definedName>
    <definedName name="SCHED3.1">[22]SCHED3!#REF!</definedName>
    <definedName name="SCHED3.2">#REF!</definedName>
    <definedName name="SCHED3.3">#REF!</definedName>
    <definedName name="SCHED3.4">#REF!</definedName>
    <definedName name="SCHED3.5">#REF!</definedName>
    <definedName name="SCHED3.6">#REF!</definedName>
    <definedName name="SCHED3.7">#REF!</definedName>
    <definedName name="SCHED3.8">#REF!</definedName>
    <definedName name="SCHED4">#REF!</definedName>
    <definedName name="SCHED5">#REF!</definedName>
    <definedName name="SCHED6">[22]SCHED8!#REF!</definedName>
    <definedName name="SchedA">#REF!</definedName>
    <definedName name="SchedB">#REF!</definedName>
    <definedName name="SET_UC_BOX">#REF!</definedName>
    <definedName name="SHORT_DESCRIPTION">#REF!</definedName>
    <definedName name="SIGNALS">#REF!</definedName>
    <definedName name="SPREAD">#REF!</definedName>
    <definedName name="STAY">#REF!</definedName>
    <definedName name="SUBTOTALS">#N/A</definedName>
    <definedName name="summary">#REF!</definedName>
    <definedName name="T">#REF!</definedName>
    <definedName name="TABLEFEE">#REF!</definedName>
    <definedName name="Tender" localSheetId="7">#REF!</definedName>
    <definedName name="Tender" localSheetId="8">#REF!</definedName>
    <definedName name="Tender" localSheetId="9">#REF!</definedName>
    <definedName name="Tender" localSheetId="10">#REF!</definedName>
    <definedName name="Tender" localSheetId="11">#REF!</definedName>
    <definedName name="Tender" localSheetId="12">#REF!</definedName>
    <definedName name="Tender" localSheetId="13">#REF!</definedName>
    <definedName name="Tender" localSheetId="14">#REF!</definedName>
    <definedName name="Tender" localSheetId="15">#REF!</definedName>
    <definedName name="Tender" localSheetId="16">#REF!</definedName>
    <definedName name="Tender" localSheetId="17">#REF!</definedName>
    <definedName name="Tender" localSheetId="18">#REF!</definedName>
    <definedName name="Tender" localSheetId="19">#REF!</definedName>
    <definedName name="Tender" localSheetId="20">#REF!</definedName>
    <definedName name="Tender" localSheetId="21">#REF!</definedName>
    <definedName name="Tender" localSheetId="22">#REF!</definedName>
    <definedName name="Tender" localSheetId="23">#REF!</definedName>
    <definedName name="Tender" localSheetId="24">#REF!</definedName>
    <definedName name="Tender" localSheetId="25">#REF!</definedName>
    <definedName name="Tender" localSheetId="26">#REF!</definedName>
    <definedName name="Tender" localSheetId="27">#REF!</definedName>
    <definedName name="Tender">#REF!</definedName>
    <definedName name="TENDER_AANHEF">#REF!</definedName>
    <definedName name="TOC">#REF!</definedName>
    <definedName name="TOCpageCol">#REF!</definedName>
    <definedName name="TOOLS">#REF!</definedName>
    <definedName name="TOT" localSheetId="6">#REF!</definedName>
    <definedName name="TOT" localSheetId="37">#REF!</definedName>
    <definedName name="TOT">#REF!</definedName>
    <definedName name="Total1200">#REF!</definedName>
    <definedName name="Total1300">#REF!</definedName>
    <definedName name="Total1400">#REF!</definedName>
    <definedName name="Total1500">#REF!</definedName>
    <definedName name="Total1600">#REF!</definedName>
    <definedName name="Total1700">'[23]1700'!#REF!</definedName>
    <definedName name="Total1800">'[23]1800'!#REF!</definedName>
    <definedName name="Total2100">#REF!</definedName>
    <definedName name="Total2200">'[23]2200'!#REF!</definedName>
    <definedName name="Total2300">'[23]2300'!#REF!</definedName>
    <definedName name="Total2400">#REF!</definedName>
    <definedName name="Total3100">#REF!</definedName>
    <definedName name="Total3200">'[23]3200'!#REF!</definedName>
    <definedName name="Total3300">'[23]3300'!#REF!</definedName>
    <definedName name="Total3400">#REF!</definedName>
    <definedName name="Total3500">#REF!</definedName>
    <definedName name="Total3600">#REF!</definedName>
    <definedName name="Total3700">#REF!</definedName>
    <definedName name="Total3800">#REF!</definedName>
    <definedName name="Total3900">#REF!</definedName>
    <definedName name="Total4200">'[23]4200'!#REF!</definedName>
    <definedName name="Total4300">#REF!</definedName>
    <definedName name="Total4400">#REF!</definedName>
    <definedName name="Total4500">#REF!</definedName>
    <definedName name="Total4600">#REF!</definedName>
    <definedName name="Total4800">#REF!</definedName>
    <definedName name="Total4900">#REF!</definedName>
    <definedName name="Total5100">#REF!</definedName>
    <definedName name="Total5200">#REF!</definedName>
    <definedName name="Total5300">#REF!</definedName>
    <definedName name="Total5400">#REF!</definedName>
    <definedName name="Total5500">#REF!</definedName>
    <definedName name="Total5600">'[23]5600'!#REF!</definedName>
    <definedName name="Total5700">'[23]5700'!#REF!</definedName>
    <definedName name="Total5800">#REF!</definedName>
    <definedName name="Total5900">#REF!</definedName>
    <definedName name="Total7100">#REF!</definedName>
    <definedName name="Total7200">#REF!</definedName>
    <definedName name="Total7300">#REF!</definedName>
    <definedName name="Total7400">#REF!</definedName>
    <definedName name="Total7500">#REF!</definedName>
    <definedName name="Total7600">#REF!</definedName>
    <definedName name="Total7700">#REF!</definedName>
    <definedName name="Total8100">'[23]8100'!#REF!</definedName>
    <definedName name="Total8400">#REF!</definedName>
    <definedName name="Total9100">#REF!</definedName>
    <definedName name="TotalA">[23]Summary!#REF!</definedName>
    <definedName name="TotalB">[23]Summary!#REF!</definedName>
    <definedName name="TotalB1">#REF!</definedName>
    <definedName name="TotalB3">#REF!</definedName>
    <definedName name="TotalD">#REF!</definedName>
    <definedName name="TotalF">[23]Summary!#REF!</definedName>
    <definedName name="TRACKWRK">#REF!</definedName>
    <definedName name="TRANSFER">#N/A</definedName>
    <definedName name="TransflexData">[17]Calcs!$C$8</definedName>
    <definedName name="TYDKOSTE">#REF!</definedName>
    <definedName name="UNIT" localSheetId="7">#REF!</definedName>
    <definedName name="UNIT" localSheetId="8">#REF!</definedName>
    <definedName name="UNIT" localSheetId="9">#REF!</definedName>
    <definedName name="UNIT" localSheetId="10">#REF!</definedName>
    <definedName name="UNIT" localSheetId="11">#REF!</definedName>
    <definedName name="UNIT" localSheetId="12">#REF!</definedName>
    <definedName name="UNIT" localSheetId="13">#REF!</definedName>
    <definedName name="UNIT" localSheetId="14">#REF!</definedName>
    <definedName name="UNIT" localSheetId="15">#REF!</definedName>
    <definedName name="UNIT" localSheetId="16">#REF!</definedName>
    <definedName name="UNIT" localSheetId="17">#REF!</definedName>
    <definedName name="UNIT" localSheetId="18">#REF!</definedName>
    <definedName name="UNIT" localSheetId="19">#REF!</definedName>
    <definedName name="UNIT" localSheetId="20">#REF!</definedName>
    <definedName name="UNIT" localSheetId="21">#REF!</definedName>
    <definedName name="UNIT" localSheetId="22">#REF!</definedName>
    <definedName name="UNIT" localSheetId="23">#REF!</definedName>
    <definedName name="UNIT" localSheetId="24">#REF!</definedName>
    <definedName name="UNIT" localSheetId="25">#REF!</definedName>
    <definedName name="UNIT" localSheetId="26">#REF!</definedName>
    <definedName name="UNIT" localSheetId="27">#REF!</definedName>
    <definedName name="UNIT">#REF!</definedName>
    <definedName name="VAT">'[24]Loss Factors'!$AA$1</definedName>
    <definedName name="VERT">#REF!</definedName>
    <definedName name="vital5" localSheetId="7">'[10]Customize Your Invoice'!$E$15</definedName>
    <definedName name="vital5" localSheetId="8">'[10]Customize Your Invoice'!$E$15</definedName>
    <definedName name="vital5" localSheetId="9">'[10]Customize Your Invoice'!$E$15</definedName>
    <definedName name="vital5" localSheetId="10">'[10]Customize Your Invoice'!$E$15</definedName>
    <definedName name="vital5" localSheetId="11">'[10]Customize Your Invoice'!$E$15</definedName>
    <definedName name="vital5" localSheetId="12">'[10]Customize Your Invoice'!$E$15</definedName>
    <definedName name="vital5" localSheetId="13">'[10]Customize Your Invoice'!$E$15</definedName>
    <definedName name="vital5" localSheetId="14">'[10]Customize Your Invoice'!$E$15</definedName>
    <definedName name="vital5" localSheetId="15">'[10]Customize Your Invoice'!$E$15</definedName>
    <definedName name="vital5" localSheetId="16">'[10]Customize Your Invoice'!$E$15</definedName>
    <definedName name="vital5" localSheetId="17">'[10]Customize Your Invoice'!$E$15</definedName>
    <definedName name="vital5" localSheetId="18">'[10]Customize Your Invoice'!$E$15</definedName>
    <definedName name="vital5" localSheetId="19">'[10]Customize Your Invoice'!$E$15</definedName>
    <definedName name="vital5" localSheetId="20">'[10]Customize Your Invoice'!$E$15</definedName>
    <definedName name="vital5" localSheetId="21">'[10]Customize Your Invoice'!$E$15</definedName>
    <definedName name="vital5" localSheetId="22">'[10]Customize Your Invoice'!$E$15</definedName>
    <definedName name="vital5" localSheetId="23">'[10]Customize Your Invoice'!$E$15</definedName>
    <definedName name="vital5" localSheetId="24">'[10]Customize Your Invoice'!$E$15</definedName>
    <definedName name="vital5" localSheetId="6">'[6]Customize Your Invoice'!$E$15</definedName>
    <definedName name="vital5" localSheetId="25">'[10]Customize Your Invoice'!$E$15</definedName>
    <definedName name="vital5" localSheetId="26">'[10]Customize Your Invoice'!$E$15</definedName>
    <definedName name="vital5" localSheetId="27">'[10]Customize Your Invoice'!$E$15</definedName>
    <definedName name="vital5" localSheetId="37">'[11]Customize Your Invoice'!$E$15</definedName>
    <definedName name="vital5">'[8]Customize Your Invoice'!$E$15</definedName>
    <definedName name="vosum">#REF!</definedName>
    <definedName name="VRAE1">#REF!</definedName>
    <definedName name="VRAE2">#REF!</definedName>
    <definedName name="WATER_LIGHTS">#REF!</definedName>
    <definedName name="WDIST">#REF!</definedName>
    <definedName name="X">#REF!</definedName>
    <definedName name="XANSWERS">#REF!</definedName>
    <definedName name="y">#REF!</definedName>
    <definedName name="Z">#REF!</definedName>
    <definedName name="ZANSWE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7" l="1"/>
  <c r="D19" i="46"/>
  <c r="D25" i="46"/>
  <c r="D23" i="46"/>
  <c r="E15" i="57" l="1"/>
  <c r="F15" i="57" s="1"/>
  <c r="A295" i="37"/>
  <c r="A218" i="37"/>
  <c r="A171" i="37"/>
  <c r="A93" i="37"/>
  <c r="A3" i="53" l="1"/>
  <c r="A2" i="38"/>
  <c r="A2" i="39" s="1"/>
  <c r="A2" i="40" s="1"/>
  <c r="A2" i="41" s="1"/>
  <c r="A2" i="42" s="1"/>
  <c r="A2" i="43" s="1"/>
  <c r="A2" i="44" s="1"/>
  <c r="A2" i="45" s="1"/>
  <c r="A2" i="46" s="1"/>
  <c r="A2" i="47" s="1"/>
  <c r="A2" i="48" s="1"/>
  <c r="A2" i="49" s="1"/>
  <c r="A2" i="50" s="1"/>
  <c r="A2" i="51" s="1"/>
  <c r="A2" i="52" s="1"/>
  <c r="A2" i="54" s="1"/>
  <c r="A2" i="53" s="1"/>
  <c r="A2" i="55" s="1"/>
  <c r="A2" i="56" s="1"/>
  <c r="A2" i="57" s="1"/>
  <c r="A2" i="58" s="1"/>
  <c r="A1" i="38"/>
  <c r="A1" i="39" s="1"/>
  <c r="A1" i="40" s="1"/>
  <c r="A1" i="41" s="1"/>
  <c r="A1" i="42" s="1"/>
  <c r="A1" i="43" s="1"/>
  <c r="A1" i="44" s="1"/>
  <c r="A1" i="45" s="1"/>
  <c r="A1" i="46" s="1"/>
  <c r="A1" i="47" s="1"/>
  <c r="A1" i="48" s="1"/>
  <c r="A1" i="49" s="1"/>
  <c r="A1" i="50" s="1"/>
  <c r="A1" i="51" s="1"/>
  <c r="A1" i="52" s="1"/>
  <c r="A1" i="54" s="1"/>
  <c r="A1" i="53" s="1"/>
  <c r="A1" i="55" s="1"/>
  <c r="A1" i="56" s="1"/>
  <c r="A1" i="57" s="1"/>
  <c r="A1" i="58" s="1"/>
  <c r="B18" i="58" l="1"/>
  <c r="B17" i="58"/>
  <c r="F13" i="57"/>
  <c r="D20" i="56"/>
  <c r="D13" i="56"/>
  <c r="D37" i="54"/>
  <c r="D29" i="54"/>
  <c r="D26" i="54"/>
  <c r="F30" i="53"/>
  <c r="H15" i="53"/>
  <c r="H14" i="53"/>
  <c r="H13" i="53"/>
  <c r="H12" i="53"/>
  <c r="H11" i="53"/>
  <c r="H10" i="53"/>
  <c r="H9" i="53"/>
  <c r="H8" i="53"/>
  <c r="D30" i="52"/>
  <c r="D30" i="51"/>
  <c r="D25" i="51"/>
  <c r="D23" i="51"/>
  <c r="D14" i="51"/>
  <c r="D12" i="51"/>
  <c r="A20" i="50"/>
  <c r="D11" i="50"/>
  <c r="D19" i="50" s="1"/>
  <c r="D13" i="49"/>
  <c r="D15" i="49" s="1"/>
  <c r="D12" i="48"/>
  <c r="K25" i="47"/>
  <c r="J25" i="47"/>
  <c r="E25" i="47"/>
  <c r="J19" i="47"/>
  <c r="K19" i="47" s="1"/>
  <c r="E19" i="47"/>
  <c r="K15" i="47"/>
  <c r="J15" i="47"/>
  <c r="D28" i="46"/>
  <c r="C25" i="46"/>
  <c r="D15" i="46"/>
  <c r="D13" i="46"/>
  <c r="D41" i="45"/>
  <c r="D39" i="45"/>
  <c r="D37" i="45"/>
  <c r="D35" i="45"/>
  <c r="D31" i="45"/>
  <c r="D25" i="45"/>
  <c r="J28" i="45" s="1"/>
  <c r="D20" i="45"/>
  <c r="D46" i="45" s="1"/>
  <c r="D15" i="45"/>
  <c r="C44" i="44"/>
  <c r="D39" i="44"/>
  <c r="D41" i="44" s="1"/>
  <c r="D34" i="44"/>
  <c r="D22" i="44"/>
  <c r="G15" i="44"/>
  <c r="D15" i="44"/>
  <c r="D19" i="43"/>
  <c r="D21" i="43" s="1"/>
  <c r="D12" i="43"/>
  <c r="D58" i="42"/>
  <c r="D55" i="42"/>
  <c r="D51" i="42"/>
  <c r="D44" i="42"/>
  <c r="D43" i="42"/>
  <c r="D38" i="42"/>
  <c r="D36" i="42"/>
  <c r="D30" i="42"/>
  <c r="D19" i="42"/>
  <c r="D62" i="42" s="1"/>
  <c r="D20" i="41"/>
  <c r="D16" i="41"/>
  <c r="D14" i="41"/>
  <c r="A5" i="41"/>
  <c r="D19" i="40"/>
  <c r="D17" i="40"/>
  <c r="D17" i="39"/>
  <c r="D15" i="39"/>
  <c r="D66" i="38"/>
  <c r="D65" i="38"/>
  <c r="D61" i="38"/>
  <c r="D59" i="38"/>
  <c r="I49" i="38"/>
  <c r="D25" i="38"/>
  <c r="J22" i="38"/>
  <c r="D21" i="38"/>
  <c r="D19" i="38"/>
  <c r="D18" i="57" l="1"/>
  <c r="D20" i="44"/>
  <c r="D31" i="42"/>
  <c r="D22" i="41"/>
  <c r="D27" i="44" l="1"/>
  <c r="D44" i="44" l="1"/>
  <c r="D48" i="44"/>
  <c r="L346" i="37" l="1"/>
  <c r="J348" i="37" s="1"/>
  <c r="A92" i="37" l="1"/>
  <c r="A217" i="37" s="1"/>
  <c r="A294" i="37" s="1"/>
  <c r="A170" i="37" l="1"/>
  <c r="G155" i="2"/>
  <c r="J343" i="37" l="1"/>
  <c r="J320" i="37"/>
  <c r="J318" i="37"/>
  <c r="J153" i="37"/>
  <c r="J65" i="37"/>
  <c r="J124" i="37"/>
  <c r="A76" i="37" l="1"/>
  <c r="J331" i="37"/>
  <c r="J122" i="37"/>
  <c r="F10" i="37"/>
  <c r="F225" i="37" s="1"/>
  <c r="F302" i="37" s="1"/>
  <c r="C30" i="37"/>
  <c r="A78" i="37" l="1"/>
  <c r="A82" i="37" s="1"/>
  <c r="A10" i="37"/>
  <c r="A19" i="37" s="1"/>
  <c r="A22" i="37" s="1"/>
  <c r="A34" i="37" s="1"/>
  <c r="A36" i="37" s="1"/>
  <c r="A47" i="37" s="1"/>
  <c r="A49" i="37" s="1"/>
  <c r="F100" i="37"/>
  <c r="F179" i="37" s="1"/>
  <c r="A303" i="37"/>
  <c r="A225" i="37"/>
  <c r="A233" i="37" s="1"/>
  <c r="A235" i="37" s="1"/>
  <c r="A100" i="37" l="1"/>
  <c r="A111" i="37" s="1"/>
  <c r="A113" i="37" s="1"/>
  <c r="A179" i="37"/>
  <c r="A119" i="37"/>
  <c r="C10" i="6"/>
  <c r="B5" i="6" s="1"/>
  <c r="G106" i="2"/>
  <c r="G102" i="2"/>
  <c r="G98" i="2"/>
  <c r="G94" i="2"/>
  <c r="G59" i="2"/>
  <c r="F66" i="27"/>
  <c r="F72" i="36"/>
  <c r="F76" i="36" s="1"/>
  <c r="F68" i="36"/>
  <c r="F69" i="36" s="1"/>
  <c r="F47" i="36"/>
  <c r="F131" i="36"/>
  <c r="J123" i="36"/>
  <c r="J55" i="36"/>
  <c r="A3" i="36"/>
  <c r="A2" i="36"/>
  <c r="A1" i="36"/>
  <c r="F157" i="27"/>
  <c r="F53" i="27"/>
  <c r="F51" i="27"/>
  <c r="F49" i="27"/>
  <c r="F57" i="27"/>
  <c r="F80" i="27"/>
  <c r="F31" i="27"/>
  <c r="F82" i="27"/>
  <c r="F97" i="27"/>
  <c r="F45" i="27"/>
  <c r="F43" i="27"/>
  <c r="J55" i="27"/>
  <c r="F55" i="27"/>
  <c r="F151" i="27"/>
  <c r="F149" i="27"/>
  <c r="F143" i="27"/>
  <c r="F131" i="27"/>
  <c r="F127" i="36" l="1"/>
  <c r="F129" i="36"/>
  <c r="F73" i="36"/>
  <c r="F59" i="27"/>
  <c r="F117" i="27"/>
  <c r="F111" i="27"/>
  <c r="F93" i="27"/>
  <c r="F29" i="27"/>
  <c r="F73" i="27"/>
  <c r="F74" i="27" s="1"/>
  <c r="F69" i="27"/>
  <c r="F77" i="36" l="1"/>
  <c r="F77" i="27"/>
  <c r="F78" i="27"/>
  <c r="F70" i="27"/>
  <c r="F19" i="27" l="1"/>
  <c r="J143" i="27"/>
  <c r="F82" i="2" l="1"/>
  <c r="F79" i="2"/>
  <c r="F77" i="2"/>
  <c r="F75" i="2"/>
  <c r="F73" i="2"/>
  <c r="F71" i="2"/>
  <c r="F69" i="2"/>
  <c r="F67" i="2"/>
  <c r="H143" i="2" l="1"/>
  <c r="F144" i="2" s="1"/>
  <c r="H155" i="2"/>
  <c r="F156" i="2" s="1"/>
  <c r="H158" i="2"/>
  <c r="F159" i="2" s="1"/>
  <c r="H152" i="2"/>
  <c r="F153" i="2" s="1"/>
  <c r="H149" i="2"/>
  <c r="F150" i="2" s="1"/>
  <c r="H146" i="2"/>
  <c r="F147" i="2" s="1"/>
  <c r="H59" i="2"/>
  <c r="F61" i="2" s="1"/>
  <c r="F18" i="6" l="1"/>
  <c r="H106" i="2" l="1"/>
  <c r="F108" i="2" s="1"/>
  <c r="H122" i="2" l="1"/>
  <c r="F124" i="2" s="1"/>
  <c r="H117" i="2"/>
  <c r="F119" i="2" s="1"/>
  <c r="G12" i="33" l="1"/>
  <c r="E15" i="33" s="1"/>
  <c r="G15" i="33" s="1"/>
  <c r="A3" i="33"/>
  <c r="A2" i="33"/>
  <c r="A1" i="33"/>
  <c r="G52" i="33" l="1"/>
  <c r="V43" i="29" l="1"/>
  <c r="V39" i="29"/>
  <c r="V31" i="29"/>
  <c r="V23" i="29"/>
  <c r="P68" i="29" l="1"/>
  <c r="H49" i="29" l="1"/>
  <c r="F43" i="29" l="1"/>
  <c r="J39" i="29" l="1"/>
  <c r="E23" i="32" l="1"/>
  <c r="L19" i="32"/>
  <c r="Q7" i="32" s="1"/>
  <c r="Q8" i="32" s="1"/>
  <c r="Q9" i="32" s="1"/>
  <c r="Q10" i="32" s="1"/>
  <c r="Q11" i="32" s="1"/>
  <c r="Q12" i="32" s="1"/>
  <c r="Q13" i="32" s="1"/>
  <c r="Q14" i="32" s="1"/>
  <c r="Q15" i="32" s="1"/>
  <c r="Q16" i="32" s="1"/>
  <c r="Q17" i="32" s="1"/>
  <c r="Q18" i="32" s="1"/>
  <c r="P7" i="32"/>
  <c r="P8" i="32" s="1"/>
  <c r="P9" i="32" s="1"/>
  <c r="P10" i="32" s="1"/>
  <c r="P11" i="32" s="1"/>
  <c r="P12" i="32" s="1"/>
  <c r="P13" i="32" s="1"/>
  <c r="P14" i="32" s="1"/>
  <c r="P15" i="32" s="1"/>
  <c r="P16" i="32" s="1"/>
  <c r="P17" i="32" s="1"/>
  <c r="P18" i="32" s="1"/>
  <c r="D23" i="32" l="1"/>
  <c r="C23" i="32" s="1"/>
  <c r="D4" i="30" l="1"/>
  <c r="H4" i="30"/>
  <c r="H76" i="30" s="1"/>
  <c r="V28" i="29"/>
  <c r="B9" i="30"/>
  <c r="I49" i="30" s="1"/>
  <c r="I100" i="30"/>
  <c r="H100" i="30"/>
  <c r="F100" i="30"/>
  <c r="K99" i="30"/>
  <c r="K98" i="30"/>
  <c r="K97" i="30"/>
  <c r="K96" i="30"/>
  <c r="K95" i="30"/>
  <c r="K94" i="30"/>
  <c r="K93" i="30"/>
  <c r="K92" i="30"/>
  <c r="K91" i="30"/>
  <c r="K90" i="30"/>
  <c r="K89" i="30"/>
  <c r="K88" i="30"/>
  <c r="K87" i="30"/>
  <c r="K86" i="30"/>
  <c r="K85" i="30"/>
  <c r="K84" i="30"/>
  <c r="K83" i="30"/>
  <c r="K82" i="30"/>
  <c r="K81" i="30"/>
  <c r="K80" i="30"/>
  <c r="B74" i="30"/>
  <c r="K47" i="30"/>
  <c r="E37" i="30"/>
  <c r="U102" i="29"/>
  <c r="V101" i="29"/>
  <c r="Z100" i="29"/>
  <c r="Y100" i="29" s="1"/>
  <c r="V100" i="29"/>
  <c r="V99" i="29"/>
  <c r="Z99" i="29" s="1"/>
  <c r="E99" i="29"/>
  <c r="E102" i="29" s="1"/>
  <c r="Y98" i="29"/>
  <c r="V98" i="29"/>
  <c r="W98" i="29" s="1"/>
  <c r="Y97" i="29"/>
  <c r="V97" i="29"/>
  <c r="W97" i="29" s="1"/>
  <c r="Y96" i="29"/>
  <c r="V96" i="29"/>
  <c r="Z96" i="29" s="1"/>
  <c r="P96" i="29"/>
  <c r="E95" i="29"/>
  <c r="W90" i="29"/>
  <c r="U103" i="29" s="1"/>
  <c r="E88" i="29"/>
  <c r="D88" i="29"/>
  <c r="C88" i="29"/>
  <c r="C89" i="29" s="1"/>
  <c r="F87" i="29"/>
  <c r="F86" i="29"/>
  <c r="F85" i="29"/>
  <c r="F84" i="29"/>
  <c r="F83" i="29"/>
  <c r="A68" i="29"/>
  <c r="B59" i="29" s="1"/>
  <c r="F67" i="29"/>
  <c r="I65" i="29"/>
  <c r="H65" i="29"/>
  <c r="G65" i="29" s="1"/>
  <c r="J55" i="29"/>
  <c r="V54" i="29"/>
  <c r="V55" i="29" s="1"/>
  <c r="V44" i="29"/>
  <c r="V40" i="29"/>
  <c r="I49" i="29"/>
  <c r="V36" i="29"/>
  <c r="V32" i="29"/>
  <c r="I30" i="29"/>
  <c r="E6" i="32" s="1"/>
  <c r="D6" i="32" s="1"/>
  <c r="C6" i="32" s="1"/>
  <c r="L34" i="32" s="1"/>
  <c r="L28" i="32" s="1"/>
  <c r="A26" i="29"/>
  <c r="V24" i="29"/>
  <c r="U4" i="29"/>
  <c r="R4" i="29"/>
  <c r="N1" i="29"/>
  <c r="Y99" i="29" l="1"/>
  <c r="Y102" i="29" s="1"/>
  <c r="I31" i="29"/>
  <c r="I60" i="29"/>
  <c r="J29" i="32"/>
  <c r="M28" i="32"/>
  <c r="K100" i="30"/>
  <c r="F88" i="29"/>
  <c r="Z102" i="29"/>
  <c r="W91" i="29"/>
  <c r="X96" i="29" s="1"/>
  <c r="V10" i="29"/>
  <c r="C68" i="29"/>
  <c r="B63" i="29"/>
  <c r="D68" i="29"/>
  <c r="C67" i="29"/>
  <c r="I32" i="29"/>
  <c r="I39" i="30" s="1"/>
  <c r="I42" i="30" s="1"/>
  <c r="L45" i="30" s="1"/>
  <c r="V56" i="29"/>
  <c r="O96" i="29"/>
  <c r="P97" i="29"/>
  <c r="W92" i="29"/>
  <c r="Y92" i="29" s="1"/>
  <c r="W102" i="29"/>
  <c r="K66" i="30"/>
  <c r="Y91" i="29"/>
  <c r="V102" i="29"/>
  <c r="R96" i="29"/>
  <c r="R97" i="29" s="1"/>
  <c r="R98" i="29" s="1"/>
  <c r="R99" i="29" s="1"/>
  <c r="R100" i="29" s="1"/>
  <c r="R101" i="29" s="1"/>
  <c r="X98" i="29" l="1"/>
  <c r="I43" i="30"/>
  <c r="K44" i="30"/>
  <c r="X97" i="29"/>
  <c r="X102" i="29" s="1"/>
  <c r="P98" i="29"/>
  <c r="O97" i="29"/>
  <c r="K68" i="30"/>
  <c r="J68" i="29"/>
  <c r="O98" i="29" l="1"/>
  <c r="P99" i="29"/>
  <c r="O99" i="29" l="1"/>
  <c r="P100" i="29"/>
  <c r="O100" i="29" l="1"/>
  <c r="P101" i="29"/>
  <c r="O101" i="29" s="1"/>
  <c r="G14" i="28" l="1"/>
  <c r="G12" i="28"/>
  <c r="H187" i="2"/>
  <c r="F189" i="2" s="1"/>
  <c r="H112" i="2"/>
  <c r="H94" i="2" l="1"/>
  <c r="F96" i="2" s="1"/>
  <c r="H102" i="2"/>
  <c r="F104" i="2" s="1"/>
  <c r="H98" i="2"/>
  <c r="F100" i="2" s="1"/>
  <c r="G51" i="28"/>
  <c r="A3" i="28" l="1"/>
  <c r="A2" i="28"/>
  <c r="A1" i="28"/>
  <c r="A3" i="27"/>
  <c r="A2" i="27"/>
  <c r="A1" i="27"/>
  <c r="G105" i="26" l="1"/>
  <c r="G100" i="26"/>
  <c r="G95" i="26"/>
  <c r="G94" i="26"/>
  <c r="G89" i="26"/>
  <c r="G83" i="26"/>
  <c r="G82" i="26"/>
  <c r="G81" i="26"/>
  <c r="G67" i="26"/>
  <c r="G66" i="26"/>
  <c r="G62" i="26"/>
  <c r="G61" i="26"/>
  <c r="G56" i="26"/>
  <c r="G55" i="26"/>
  <c r="G54" i="26"/>
  <c r="G49" i="26"/>
  <c r="G48" i="26"/>
  <c r="G47" i="26"/>
  <c r="G46" i="26"/>
  <c r="G45" i="26"/>
  <c r="G44" i="26"/>
  <c r="G37" i="26"/>
  <c r="G36" i="26"/>
  <c r="G35" i="26"/>
  <c r="G34" i="26"/>
  <c r="G29" i="26"/>
  <c r="G22" i="26"/>
  <c r="G16" i="26"/>
  <c r="G15" i="26"/>
  <c r="A3" i="26"/>
  <c r="A2" i="26"/>
  <c r="A1" i="26"/>
  <c r="G57" i="24"/>
  <c r="G51" i="24"/>
  <c r="G46" i="24"/>
  <c r="G41" i="24"/>
  <c r="G40" i="24"/>
  <c r="G39" i="24"/>
  <c r="G35" i="24"/>
  <c r="G30" i="24"/>
  <c r="G25" i="24"/>
  <c r="G24" i="24"/>
  <c r="G23" i="24"/>
  <c r="G22" i="24"/>
  <c r="G16" i="24"/>
  <c r="A3" i="24"/>
  <c r="A2" i="24"/>
  <c r="A1" i="24"/>
  <c r="G15" i="23"/>
  <c r="G20" i="23"/>
  <c r="G21" i="23"/>
  <c r="G27" i="23"/>
  <c r="G28" i="23"/>
  <c r="G29" i="23"/>
  <c r="G30" i="23"/>
  <c r="G31" i="23"/>
  <c r="G36" i="23"/>
  <c r="G37" i="23"/>
  <c r="G38" i="23"/>
  <c r="G43" i="23"/>
  <c r="G44" i="23"/>
  <c r="G48" i="23"/>
  <c r="G49" i="23"/>
  <c r="G50" i="23"/>
  <c r="G55" i="23"/>
  <c r="G56" i="23"/>
  <c r="G57" i="23"/>
  <c r="G62" i="23"/>
  <c r="G77" i="23"/>
  <c r="G82" i="23"/>
  <c r="G87" i="23"/>
  <c r="G14" i="23"/>
  <c r="A3" i="23"/>
  <c r="A2" i="23"/>
  <c r="A1" i="23"/>
  <c r="G66" i="23" l="1"/>
  <c r="G70" i="23" s="1"/>
  <c r="G92" i="23" s="1"/>
  <c r="G71" i="26"/>
  <c r="G75" i="26" s="1"/>
  <c r="G129" i="26" s="1"/>
  <c r="G83" i="24"/>
  <c r="G259" i="19" l="1"/>
  <c r="G283" i="19"/>
  <c r="E313" i="19"/>
  <c r="G313" i="19" s="1"/>
  <c r="E298" i="19"/>
  <c r="G298" i="19" s="1"/>
  <c r="E273" i="19"/>
  <c r="G273" i="19" s="1"/>
  <c r="G236" i="19"/>
  <c r="G235" i="19"/>
  <c r="G228" i="19"/>
  <c r="G227" i="19"/>
  <c r="G219" i="19"/>
  <c r="G218" i="19"/>
  <c r="G215" i="19"/>
  <c r="G209" i="19"/>
  <c r="G208" i="19"/>
  <c r="G205" i="19"/>
  <c r="G191" i="19"/>
  <c r="G194" i="19"/>
  <c r="G182" i="19"/>
  <c r="E187" i="19"/>
  <c r="G187" i="19" s="1"/>
  <c r="E185" i="19"/>
  <c r="G185" i="19" s="1"/>
  <c r="G158" i="19"/>
  <c r="G168" i="19"/>
  <c r="G171" i="19"/>
  <c r="G156" i="19"/>
  <c r="E161" i="19"/>
  <c r="G161" i="19" s="1"/>
  <c r="G150" i="19"/>
  <c r="E149" i="19"/>
  <c r="G149" i="19" s="1"/>
  <c r="E145" i="19"/>
  <c r="G145" i="19" s="1"/>
  <c r="G122" i="19"/>
  <c r="G124" i="19"/>
  <c r="G128" i="19"/>
  <c r="G138" i="19"/>
  <c r="E120" i="19"/>
  <c r="G120" i="19" s="1"/>
  <c r="E119" i="19"/>
  <c r="G119" i="19" s="1"/>
  <c r="E117" i="19"/>
  <c r="G117" i="19" s="1"/>
  <c r="E116" i="19"/>
  <c r="G116" i="19" s="1"/>
  <c r="G103" i="19"/>
  <c r="G97" i="19"/>
  <c r="G100" i="19"/>
  <c r="G104" i="19"/>
  <c r="G106" i="19"/>
  <c r="G96" i="19"/>
  <c r="G32" i="19"/>
  <c r="G53" i="19"/>
  <c r="G71" i="19"/>
  <c r="G73" i="19"/>
  <c r="G76" i="19"/>
  <c r="E83" i="19"/>
  <c r="G83" i="19" s="1"/>
  <c r="E66" i="19"/>
  <c r="G66" i="19" s="1"/>
  <c r="E60" i="19"/>
  <c r="G60" i="19" s="1"/>
  <c r="E48" i="19"/>
  <c r="E57" i="19" s="1"/>
  <c r="G57" i="19" s="1"/>
  <c r="E41" i="19"/>
  <c r="G41" i="19" s="1"/>
  <c r="E38" i="19"/>
  <c r="G38" i="19" s="1"/>
  <c r="E21" i="19"/>
  <c r="E29" i="19" s="1"/>
  <c r="G29" i="19" s="1"/>
  <c r="E16" i="19"/>
  <c r="G16" i="19" s="1"/>
  <c r="A3" i="19"/>
  <c r="A2" i="19"/>
  <c r="A1" i="19"/>
  <c r="G13" i="18"/>
  <c r="E15" i="18"/>
  <c r="G15" i="18" s="1"/>
  <c r="A3" i="18"/>
  <c r="A2" i="18"/>
  <c r="A1" i="18"/>
  <c r="G352" i="17"/>
  <c r="G336" i="17"/>
  <c r="G319" i="17"/>
  <c r="G309" i="17"/>
  <c r="G306" i="17"/>
  <c r="G287" i="17"/>
  <c r="G270" i="17"/>
  <c r="G269" i="17"/>
  <c r="G260" i="17"/>
  <c r="G259" i="17"/>
  <c r="G243" i="17"/>
  <c r="G247" i="17"/>
  <c r="G248" i="17"/>
  <c r="G236" i="17"/>
  <c r="G237" i="17"/>
  <c r="G232" i="17"/>
  <c r="G168" i="17"/>
  <c r="G167" i="17"/>
  <c r="G175" i="17"/>
  <c r="G178" i="17"/>
  <c r="G182" i="17"/>
  <c r="G190" i="17"/>
  <c r="G193" i="17"/>
  <c r="G199" i="17"/>
  <c r="G203" i="17"/>
  <c r="G206" i="17"/>
  <c r="G209" i="17"/>
  <c r="G215" i="17"/>
  <c r="E162" i="17"/>
  <c r="G162" i="17" s="1"/>
  <c r="G109" i="17"/>
  <c r="G110" i="17"/>
  <c r="G114" i="17"/>
  <c r="G123" i="17"/>
  <c r="G124" i="17"/>
  <c r="G127" i="17"/>
  <c r="G128" i="17"/>
  <c r="G131" i="17"/>
  <c r="G132" i="17"/>
  <c r="G133" i="17"/>
  <c r="G134" i="17"/>
  <c r="G138" i="17"/>
  <c r="G156" i="17"/>
  <c r="G103" i="17"/>
  <c r="G99" i="17"/>
  <c r="G98" i="17"/>
  <c r="G92" i="17"/>
  <c r="G73" i="17"/>
  <c r="G85" i="17"/>
  <c r="G62" i="17"/>
  <c r="G66" i="17"/>
  <c r="G50" i="17"/>
  <c r="G57" i="17"/>
  <c r="G33" i="17"/>
  <c r="G39" i="17"/>
  <c r="G41" i="17"/>
  <c r="G45" i="17"/>
  <c r="G30" i="17"/>
  <c r="G20" i="17"/>
  <c r="G16" i="17"/>
  <c r="G28" i="17"/>
  <c r="G26" i="17"/>
  <c r="G24" i="17"/>
  <c r="A3" i="17"/>
  <c r="A2" i="17"/>
  <c r="A1" i="17"/>
  <c r="E270" i="19" l="1"/>
  <c r="G270" i="19" s="1"/>
  <c r="G21" i="19"/>
  <c r="G48" i="19"/>
  <c r="E26" i="19"/>
  <c r="G26" i="19" s="1"/>
  <c r="E44" i="19"/>
  <c r="G44" i="19" s="1"/>
  <c r="E25" i="19"/>
  <c r="G25" i="19" s="1"/>
  <c r="G78" i="18"/>
  <c r="G78" i="17"/>
  <c r="G83" i="17" s="1"/>
  <c r="G150" i="17" s="1"/>
  <c r="G87" i="19" l="1"/>
  <c r="A3" i="14" l="1"/>
  <c r="A2" i="14"/>
  <c r="A1" i="14"/>
  <c r="A3" i="6"/>
  <c r="A2" i="6"/>
  <c r="A1" i="6"/>
  <c r="G154" i="17" l="1"/>
  <c r="G226" i="17" s="1"/>
  <c r="G230" i="17" s="1"/>
  <c r="G92" i="19"/>
  <c r="G174" i="19" s="1"/>
  <c r="G178" i="19" s="1"/>
  <c r="G239" i="19" l="1"/>
  <c r="G243" i="19" s="1"/>
  <c r="G318" i="19" s="1"/>
  <c r="G300" i="17"/>
  <c r="G304" i="17" s="1"/>
  <c r="G361" i="17" s="1"/>
  <c r="I44" i="29" l="1"/>
  <c r="I47" i="29" l="1"/>
  <c r="K50" i="30"/>
  <c r="K54" i="30" l="1"/>
  <c r="K56" i="30" s="1"/>
  <c r="K59" i="30"/>
  <c r="K57" i="30"/>
  <c r="I50" i="29"/>
  <c r="E7" i="32"/>
  <c r="J47" i="29"/>
  <c r="J48" i="29"/>
  <c r="K58" i="30" l="1"/>
  <c r="E8" i="32"/>
  <c r="D7" i="32"/>
  <c r="L59" i="30"/>
  <c r="K61" i="30"/>
  <c r="V15" i="29"/>
  <c r="I53" i="29"/>
  <c r="I54" i="29" l="1"/>
  <c r="I55" i="29" s="1"/>
  <c r="E22" i="32"/>
  <c r="V7" i="29"/>
  <c r="V50" i="29"/>
  <c r="V16" i="29"/>
  <c r="V17" i="29" s="1"/>
  <c r="J67" i="29" s="1"/>
  <c r="K64" i="30"/>
  <c r="K62" i="30"/>
  <c r="E68" i="30" s="1"/>
  <c r="C7" i="32"/>
  <c r="C8" i="32" s="1"/>
  <c r="D8" i="32"/>
  <c r="V8" i="29" l="1"/>
  <c r="V11" i="29" s="1"/>
  <c r="V51" i="29"/>
  <c r="V52" i="29" s="1"/>
  <c r="I61" i="29"/>
  <c r="I59" i="29" s="1"/>
  <c r="J61" i="29" s="1"/>
  <c r="K63" i="30"/>
  <c r="D22" i="32"/>
  <c r="E24" i="32"/>
  <c r="E69" i="30"/>
  <c r="K69" i="30"/>
  <c r="K67" i="30" s="1"/>
  <c r="K70" i="30" s="1"/>
  <c r="D24" i="32" l="1"/>
  <c r="C22" i="32"/>
  <c r="C24" i="32" s="1"/>
  <c r="V12" i="29"/>
  <c r="V13" i="29" s="1"/>
  <c r="J66" i="29" s="1"/>
  <c r="J69" i="29" s="1"/>
  <c r="V46" i="29"/>
  <c r="V47" i="29" s="1"/>
  <c r="V48" i="29" s="1"/>
  <c r="V59" i="29" s="1"/>
</calcChain>
</file>

<file path=xl/comments1.xml><?xml version="1.0" encoding="utf-8"?>
<comments xmlns="http://schemas.openxmlformats.org/spreadsheetml/2006/main">
  <authors>
    <author>New</author>
  </authors>
  <commentList>
    <comment ref="W61" authorId="0" shapeId="0">
      <text>
        <r>
          <rPr>
            <b/>
            <sz val="11"/>
            <color indexed="81"/>
            <rFont val="Tahoma"/>
            <family val="2"/>
          </rPr>
          <t>New:</t>
        </r>
        <r>
          <rPr>
            <sz val="11"/>
            <color indexed="81"/>
            <rFont val="Tahoma"/>
            <family val="2"/>
          </rPr>
          <t xml:space="preserve">
</t>
        </r>
      </text>
    </comment>
  </commentList>
</comments>
</file>

<file path=xl/sharedStrings.xml><?xml version="1.0" encoding="utf-8"?>
<sst xmlns="http://schemas.openxmlformats.org/spreadsheetml/2006/main" count="3611" uniqueCount="1792">
  <si>
    <t>ITEM</t>
  </si>
  <si>
    <t>PAYMENT</t>
  </si>
  <si>
    <t>DESCRIPTION</t>
  </si>
  <si>
    <t>UNIT</t>
  </si>
  <si>
    <t>QUANTITY</t>
  </si>
  <si>
    <t>RATE</t>
  </si>
  <si>
    <t>AMOUNT</t>
  </si>
  <si>
    <t>NO.</t>
  </si>
  <si>
    <t>REFER.</t>
  </si>
  <si>
    <t xml:space="preserve"> </t>
  </si>
  <si>
    <t>SANS 1200 A</t>
  </si>
  <si>
    <t>GENERAL</t>
  </si>
  <si>
    <t>Scheduled Fixed Charge and Value Related Items</t>
  </si>
  <si>
    <t>8.3.1</t>
  </si>
  <si>
    <t>Contractual Requirements, Sureties and Insurance</t>
  </si>
  <si>
    <t>Sum</t>
  </si>
  <si>
    <t>8.3.2</t>
  </si>
  <si>
    <t>Establishment of Facilities on the Site</t>
  </si>
  <si>
    <t>8.3.2.1</t>
  </si>
  <si>
    <t>FACILITIES FOR ENGINEER</t>
  </si>
  <si>
    <t>PSAB 3.2</t>
  </si>
  <si>
    <t>a) Furnished offices (1No.)</t>
  </si>
  <si>
    <t>8.3.2.2</t>
  </si>
  <si>
    <t>FACILITIES FOR CONTRACTOR</t>
  </si>
  <si>
    <t>a) Offices, stores, workshops</t>
  </si>
  <si>
    <t>b) Tools and equipment</t>
  </si>
  <si>
    <t>c) Toilets and ablutions</t>
  </si>
  <si>
    <t>d) Temporary fencing off site of construction camp</t>
  </si>
  <si>
    <t>e) Provision of water, power and communication</t>
  </si>
  <si>
    <t>f) Refuse containers and disposal</t>
  </si>
  <si>
    <t>8.3.3</t>
  </si>
  <si>
    <t>8.3.4</t>
  </si>
  <si>
    <t>REMOVAL OF SITE ESTABLISHMENT</t>
  </si>
  <si>
    <t>Scheduled Time Related Items</t>
  </si>
  <si>
    <t>8.4.1</t>
  </si>
  <si>
    <t>months</t>
  </si>
  <si>
    <t>8.4.2</t>
  </si>
  <si>
    <t>Operation and Maintenance of Facilities on Site, for</t>
  </si>
  <si>
    <t>Duration of Construction, except where otherwise</t>
  </si>
  <si>
    <t>stated</t>
  </si>
  <si>
    <t>8.4.2.1</t>
  </si>
  <si>
    <t>8.4.2.2</t>
  </si>
  <si>
    <t>FACILITIES FOR THE CONTRACTOR</t>
  </si>
  <si>
    <t>8.4.3</t>
  </si>
  <si>
    <t>8.4.4</t>
  </si>
  <si>
    <t>Company &amp; Head Office Overhead Costs for the</t>
  </si>
  <si>
    <t>Duration of the Contract</t>
  </si>
  <si>
    <t>8.4.5</t>
  </si>
  <si>
    <t>TOTAL CARRIED FORWARD</t>
  </si>
  <si>
    <t>TOTAL BROUGHT FORWARD</t>
  </si>
  <si>
    <t>PSA 8.6</t>
  </si>
  <si>
    <t>PRIME COST ITEMS</t>
  </si>
  <si>
    <t>PSA 7.5</t>
  </si>
  <si>
    <t>PC</t>
  </si>
  <si>
    <t xml:space="preserve">b)  Contractor's overheads, charges and profit in </t>
  </si>
  <si>
    <t>%</t>
  </si>
  <si>
    <t>TEMPORARY WORKS</t>
  </si>
  <si>
    <t>8.8.4</t>
  </si>
  <si>
    <t>Existing Services:</t>
  </si>
  <si>
    <t xml:space="preserve">c)  Excavation by hand in soft material to expose any </t>
  </si>
  <si>
    <t>m³</t>
  </si>
  <si>
    <t xml:space="preserve">      service if required by the Engineer</t>
  </si>
  <si>
    <t>PSA 8.9</t>
  </si>
  <si>
    <t>As  built drawings</t>
  </si>
  <si>
    <t>PSA 8.10</t>
  </si>
  <si>
    <t>Employment of Community Liaison Officer</t>
  </si>
  <si>
    <t>OCCUPATIONAL HEALTH AND SAFETY ACT 1993 :</t>
  </si>
  <si>
    <t xml:space="preserve"> HEALTH AND SAFETY SPECIFICATION</t>
  </si>
  <si>
    <t xml:space="preserve">Preparation of Risk Assessment, Safe Work </t>
  </si>
  <si>
    <t xml:space="preserve">Procedures, the Project Health and Safety file, Plan, </t>
  </si>
  <si>
    <t xml:space="preserve">the provision of PPE and protection clothing and any </t>
  </si>
  <si>
    <t xml:space="preserve">other H &amp; S matters that the contractor deem </t>
  </si>
  <si>
    <t>necessary</t>
  </si>
  <si>
    <t>L Sum</t>
  </si>
  <si>
    <t xml:space="preserve">Full compliance with all Health &amp; Safety matters </t>
  </si>
  <si>
    <t xml:space="preserve">during the construction of the works under the </t>
  </si>
  <si>
    <t>contract</t>
  </si>
  <si>
    <t>Submission of the Health and Safety File</t>
  </si>
  <si>
    <t>Dayworks:</t>
  </si>
  <si>
    <t>a)  Normal Time:</t>
  </si>
  <si>
    <t>1.5.1</t>
  </si>
  <si>
    <t xml:space="preserve">    (i)  Supervisor</t>
  </si>
  <si>
    <t>hr</t>
  </si>
  <si>
    <t>1.5.2</t>
  </si>
  <si>
    <t xml:space="preserve">    (ii)  Artisan</t>
  </si>
  <si>
    <t>1.5.3</t>
  </si>
  <si>
    <t xml:space="preserve">    (iii) Operator</t>
  </si>
  <si>
    <t xml:space="preserve">    (iv) Labourer</t>
  </si>
  <si>
    <t>a) Overtime including Sundays</t>
  </si>
  <si>
    <t xml:space="preserve">    (i)  Supervisors</t>
  </si>
  <si>
    <t xml:space="preserve">hr </t>
  </si>
  <si>
    <t xml:space="preserve">    (i)  Loader</t>
  </si>
  <si>
    <t xml:space="preserve">        150kW</t>
  </si>
  <si>
    <t xml:space="preserve">    (ii)  Grader</t>
  </si>
  <si>
    <t xml:space="preserve">          130 kW</t>
  </si>
  <si>
    <t xml:space="preserve">    (iii)  Vibrating roller</t>
  </si>
  <si>
    <t xml:space="preserve">          12t</t>
  </si>
  <si>
    <t xml:space="preserve">     (iv)  Grid compactor</t>
  </si>
  <si>
    <t xml:space="preserve">     (v)  Tractor</t>
  </si>
  <si>
    <t xml:space="preserve">           65 kW</t>
  </si>
  <si>
    <t xml:space="preserve">     (vi)  Water cart</t>
  </si>
  <si>
    <t xml:space="preserve">     (vii)  Tip truck</t>
  </si>
  <si>
    <t xml:space="preserve">            10 m3 capacity</t>
  </si>
  <si>
    <t xml:space="preserve">     (viii) Excavator</t>
  </si>
  <si>
    <t xml:space="preserve">             20t</t>
  </si>
  <si>
    <t xml:space="preserve">     (ix)  Bull Dozer</t>
  </si>
  <si>
    <t xml:space="preserve">            120 kW</t>
  </si>
  <si>
    <t xml:space="preserve">     (x)   Concrete mixer</t>
  </si>
  <si>
    <t xml:space="preserve">     (xi)  TLB</t>
  </si>
  <si>
    <t xml:space="preserve">            73 kW</t>
  </si>
  <si>
    <t>TOTAL CARRIED  TO SUMMARY</t>
  </si>
  <si>
    <t>ITEM No.</t>
  </si>
  <si>
    <t>PAYMENT REFER.</t>
  </si>
  <si>
    <r>
      <t>m</t>
    </r>
    <r>
      <rPr>
        <vertAlign val="superscript"/>
        <sz val="11"/>
        <rFont val="Arial"/>
        <family val="2"/>
      </rPr>
      <t>3</t>
    </r>
  </si>
  <si>
    <t>SABS 1200 C</t>
  </si>
  <si>
    <t>CLEARING</t>
  </si>
  <si>
    <t>PSC 8.2.1</t>
  </si>
  <si>
    <t>Clear Site incl. remove trees up to 1m girth to approved areas off Site</t>
  </si>
  <si>
    <r>
      <t>m</t>
    </r>
    <r>
      <rPr>
        <vertAlign val="superscript"/>
        <sz val="11"/>
        <rFont val="Arial"/>
        <family val="2"/>
      </rPr>
      <t>2</t>
    </r>
  </si>
  <si>
    <t>8.2.2</t>
  </si>
  <si>
    <t>Remove trees of girth: Over and up to:-</t>
  </si>
  <si>
    <t xml:space="preserve"> No.</t>
  </si>
  <si>
    <t>SABS1200 DM</t>
  </si>
  <si>
    <t>EARTHWORKS (ROADS, SUBGRADE)</t>
  </si>
  <si>
    <t>PSDM 8.3.2</t>
  </si>
  <si>
    <t>Remove topsoil to nominal depth of 150 mm and stockpile</t>
  </si>
  <si>
    <t>PSDM 8.3.4</t>
  </si>
  <si>
    <t>PSDB 8.3.2</t>
  </si>
  <si>
    <t>EXTRA OVER ITEMS:</t>
  </si>
  <si>
    <t>Extra over for excavation in:</t>
  </si>
  <si>
    <t>i) Intermediate material</t>
  </si>
  <si>
    <t>Cell demarcation berm</t>
  </si>
  <si>
    <t>SABS 1200 LD</t>
  </si>
  <si>
    <t>SEWERS</t>
  </si>
  <si>
    <t>PSLD 8.2.1</t>
  </si>
  <si>
    <t>Supply, lay and bed complete with couplings:</t>
  </si>
  <si>
    <t>m</t>
  </si>
  <si>
    <t>PSLD 8.2.3</t>
  </si>
  <si>
    <t>No.</t>
  </si>
  <si>
    <t>TOTAL CARRIED TO SUMMARY</t>
  </si>
  <si>
    <t>PSDM 8.3.3</t>
  </si>
  <si>
    <t>PSDM 8.3.5</t>
  </si>
  <si>
    <t>L/Sum</t>
  </si>
  <si>
    <t>PSDB 8.3.2 &amp; PSDM 8.3.4</t>
  </si>
  <si>
    <t>CONTAMINATED &amp; CLEAN WATER DRAINS</t>
  </si>
  <si>
    <t>PSDB 8.3.2 &amp; PSG 8.4.3</t>
  </si>
  <si>
    <t>SABS 1200 LE</t>
  </si>
  <si>
    <t>Supply materials and construct drainage crossing, headwalls and discharge outlet including bedding and backfilling as per drawing details:</t>
  </si>
  <si>
    <t>No</t>
  </si>
  <si>
    <t>LE 8.2.2</t>
  </si>
  <si>
    <t>900*600mm Class 175S Precast Box Culvert</t>
  </si>
  <si>
    <t>SABS 1200 DA</t>
  </si>
  <si>
    <t>SECTION 1:</t>
  </si>
  <si>
    <t>R</t>
  </si>
  <si>
    <t>SECTION 2:</t>
  </si>
  <si>
    <t>SECTION 4:</t>
  </si>
  <si>
    <t>SECTION 5:</t>
  </si>
  <si>
    <t>SUB TOTAL:</t>
  </si>
  <si>
    <t>GREATER GIYANI MUNICIPALITY</t>
  </si>
  <si>
    <t>SECTION 1 : PRELIMINARY AND GENERAL</t>
  </si>
  <si>
    <t>c) Name Board (2No.)</t>
  </si>
  <si>
    <t>PRELIMINARY AND GENERAL</t>
  </si>
  <si>
    <t xml:space="preserve">LEACHATE POND </t>
  </si>
  <si>
    <t>DRAINAGE</t>
  </si>
  <si>
    <t>Fill</t>
  </si>
  <si>
    <t>DAYWORKS AND PLANT HIRE</t>
  </si>
  <si>
    <t>1.1.1</t>
  </si>
  <si>
    <t>1.1.2</t>
  </si>
  <si>
    <t>1.1.2.1</t>
  </si>
  <si>
    <t>1.6.1</t>
  </si>
  <si>
    <t>1.6.2</t>
  </si>
  <si>
    <t>1.6.3</t>
  </si>
  <si>
    <t>1.2.1</t>
  </si>
  <si>
    <t>1.2.2</t>
  </si>
  <si>
    <t>1.1.2.2</t>
  </si>
  <si>
    <t>1.1.3</t>
  </si>
  <si>
    <t>1.1.3.1</t>
  </si>
  <si>
    <t>1.1.3.2</t>
  </si>
  <si>
    <t>1.1.3.3</t>
  </si>
  <si>
    <t>1.1.3.4</t>
  </si>
  <si>
    <t>1.1.3.5</t>
  </si>
  <si>
    <t>1.1.3.6</t>
  </si>
  <si>
    <t>1.1.4</t>
  </si>
  <si>
    <t>1.1.5</t>
  </si>
  <si>
    <t>1.2.2.1</t>
  </si>
  <si>
    <t>1.2.3</t>
  </si>
  <si>
    <t>1.2.4</t>
  </si>
  <si>
    <t>1.2.5</t>
  </si>
  <si>
    <t>1.2.6</t>
  </si>
  <si>
    <t>1.3.1</t>
  </si>
  <si>
    <t>1.3.2</t>
  </si>
  <si>
    <t>1.4.2</t>
  </si>
  <si>
    <t>1.4.3</t>
  </si>
  <si>
    <t>1.4.4</t>
  </si>
  <si>
    <t>SITE CLEARING</t>
  </si>
  <si>
    <t xml:space="preserve">Excavate in all materials for contaminated or clean water drainage and stockpile </t>
  </si>
  <si>
    <t xml:space="preserve">CULVERTS </t>
  </si>
  <si>
    <t>CONTINGENCIES (10% OF SUB TOTAL)</t>
  </si>
  <si>
    <t xml:space="preserve">Topographical Survey prior to </t>
  </si>
  <si>
    <t>construction commencement</t>
  </si>
  <si>
    <t>PSA 8.8</t>
  </si>
  <si>
    <t>SECTION 3:</t>
  </si>
  <si>
    <t>TESTING MATERIALS AND WORKMANSHIP</t>
  </si>
  <si>
    <t>Other special tests requested by the engineer:</t>
  </si>
  <si>
    <t>(a) Cost of testing</t>
  </si>
  <si>
    <t>PC Sum</t>
  </si>
  <si>
    <t>(b) Handling cost and profit in respect of Sub-item</t>
  </si>
  <si>
    <t>ha</t>
  </si>
  <si>
    <t>Appointment of Operation, Health and Safety Consultant</t>
  </si>
  <si>
    <t>Appointment of Social Facilitator for the duration of the Project</t>
  </si>
  <si>
    <t>Appointment of Environmental Impact Monitoring Consultant</t>
  </si>
  <si>
    <t>1.4.5</t>
  </si>
  <si>
    <t>1.5.4</t>
  </si>
  <si>
    <t>1.5.5</t>
  </si>
  <si>
    <t>C3.3 SUMMARY OF BILL OF QUANTITIES</t>
  </si>
  <si>
    <t>TENDER SUM CARRIED TO FORM OF TENDER</t>
  </si>
  <si>
    <t>PSA 8.5</t>
  </si>
  <si>
    <t>PSA 8.11</t>
  </si>
  <si>
    <t>C.4.3.6</t>
  </si>
  <si>
    <t>PAF 10.1</t>
  </si>
  <si>
    <t>PAF7.5</t>
  </si>
  <si>
    <t>1.5.4(a) above</t>
  </si>
  <si>
    <t>OFFICE BLOCKS</t>
  </si>
  <si>
    <t xml:space="preserve">Site clearance </t>
  </si>
  <si>
    <t>Digging up and removing rubbish, debris, vegetation, hedges,</t>
  </si>
  <si>
    <t xml:space="preserve"> shrubs and trees not exceeding 200mm girth, bush, etc </t>
  </si>
  <si>
    <t xml:space="preserve">EXCAVATION, FILLING, ETC  </t>
  </si>
  <si>
    <t xml:space="preserve">Excavation in earth not exceeding 2m deep </t>
  </si>
  <si>
    <t>Trenches</t>
  </si>
  <si>
    <t>Extra over trench and hole excavations in earth for excavation in</t>
  </si>
  <si>
    <t>Soft rock</t>
  </si>
  <si>
    <t>Hard rock</t>
  </si>
  <si>
    <t xml:space="preserve">Risk of collapse of excavations </t>
  </si>
  <si>
    <t>Sides of trench and hole excavations not exceeding 1,5m deep</t>
  </si>
  <si>
    <t xml:space="preserve">Keeping excavations free of water </t>
  </si>
  <si>
    <t>Keeping excavations free of all water other than subterranean water</t>
  </si>
  <si>
    <t>Earth filling obtained from the excavations and /or prescribed</t>
  </si>
  <si>
    <t xml:space="preserve"> stock piles on site including compacted to  93% Mod AASHTO</t>
  </si>
  <si>
    <t xml:space="preserve"> density </t>
  </si>
  <si>
    <t>Item</t>
  </si>
  <si>
    <t>Backfilling to trenches, holes, etc</t>
  </si>
  <si>
    <t>Earth filling supplied by the contractor compacted to 93% Mod AASHTO density</t>
  </si>
  <si>
    <t>Under floors, steps, paving etc.</t>
  </si>
  <si>
    <t xml:space="preserve">Extra over all excavations for carting away </t>
  </si>
  <si>
    <t>Surplus material from excavations  on site to a dumping site to</t>
  </si>
  <si>
    <t xml:space="preserve"> be located by the contractor</t>
  </si>
  <si>
    <t xml:space="preserve">Compaction of surfaces </t>
  </si>
  <si>
    <t>Compaction of ground surface under floors etc including</t>
  </si>
  <si>
    <t xml:space="preserve"> scarifying for a depth of 150mm, breaking down oversize</t>
  </si>
  <si>
    <t xml:space="preserve"> material, adding suitable material where necessary and</t>
  </si>
  <si>
    <t xml:space="preserve"> compacting to 93% Mod AASHTO density</t>
  </si>
  <si>
    <t xml:space="preserve">Prescribed density tests on filling </t>
  </si>
  <si>
    <t xml:space="preserve">Modified AASHTO Density test </t>
  </si>
  <si>
    <t xml:space="preserve">SOIL POISONING </t>
  </si>
  <si>
    <t xml:space="preserve">Soil insecticide </t>
  </si>
  <si>
    <t>Under floors etc including forming and poisoning shallow</t>
  </si>
  <si>
    <t xml:space="preserve"> furrows against foundation walls etc, filling in furrows and</t>
  </si>
  <si>
    <t xml:space="preserve"> ramming </t>
  </si>
  <si>
    <t xml:space="preserve">To bottoms and sides of trenches etc </t>
  </si>
  <si>
    <t>CONCRETE, FORMWORK AND REINFORCEMENT</t>
  </si>
  <si>
    <t>UNREINFORCED CONCRETE CAST AGAINST EXCAVATED SURFACES</t>
  </si>
  <si>
    <t xml:space="preserve">15MPa/19mm concrete </t>
  </si>
  <si>
    <t xml:space="preserve">Strip footings </t>
  </si>
  <si>
    <t>SURFACES</t>
  </si>
  <si>
    <t>UNREINFORCED CONCRETE CAST AGAINST EXCAVATED</t>
  </si>
  <si>
    <t xml:space="preserve">TEST CUBES </t>
  </si>
  <si>
    <t>Allow for preparing a set of three concrete strength test cubes,</t>
  </si>
  <si>
    <t xml:space="preserve"> each size 150 x 150 x 150mm, sending them to an approved</t>
  </si>
  <si>
    <t xml:space="preserve"> Testing Laboratory for testing and paying all charges in</t>
  </si>
  <si>
    <t xml:space="preserve"> Testing Laboratory for testing and paying all charges in </t>
  </si>
  <si>
    <t xml:space="preserve"> connection therewith.</t>
  </si>
  <si>
    <t>Sets</t>
  </si>
  <si>
    <t xml:space="preserve">BRICKWORK  </t>
  </si>
  <si>
    <t xml:space="preserve">Brickwork of NFP bricks in class II mortar </t>
  </si>
  <si>
    <t xml:space="preserve">One brick walls </t>
  </si>
  <si>
    <t>Brickwork of NFP bricks in class II mortar  (One brick walls)</t>
  </si>
  <si>
    <t>TOTAL CARRIED TO FORWARD</t>
  </si>
  <si>
    <t xml:space="preserve">UNREINFORCED CONCRETE </t>
  </si>
  <si>
    <t xml:space="preserve">UNREINFORCED CONCRETE (15MPa/19mm concrete) </t>
  </si>
  <si>
    <t xml:space="preserve">Surface beds </t>
  </si>
  <si>
    <t>Ramps</t>
  </si>
  <si>
    <t>REINFORCEMENT</t>
  </si>
  <si>
    <t>Type 193 steel mesh reinforcement</t>
  </si>
  <si>
    <t xml:space="preserve">CONCRETE SUNDRIES </t>
  </si>
  <si>
    <t xml:space="preserve">Finishing top surfaces of concrete smooth with a powerfloat  </t>
  </si>
  <si>
    <t>Surface beds, slabs, etc</t>
  </si>
  <si>
    <t>Ramp to falls</t>
  </si>
  <si>
    <t xml:space="preserve"> connection therewith. (Provisional)</t>
  </si>
  <si>
    <t xml:space="preserve">MASONRY </t>
  </si>
  <si>
    <t>MASONRY - SUPERSTRUCTURE</t>
  </si>
  <si>
    <t>Half brick walls</t>
  </si>
  <si>
    <t xml:space="preserve">One  brick walls </t>
  </si>
  <si>
    <t xml:space="preserve">Brickwork reinforcement </t>
  </si>
  <si>
    <t>75mm Wide reinforcement built in horizontally</t>
  </si>
  <si>
    <t>150mm Wide reinforcement built in horizontally</t>
  </si>
  <si>
    <t xml:space="preserve">Turning pieces </t>
  </si>
  <si>
    <t>230mm Wide turning pieces to lintels etc</t>
  </si>
  <si>
    <t xml:space="preserve">Allied Concrete prestressed fabricated lintels </t>
  </si>
  <si>
    <t xml:space="preserve">110 x 75mm Lintels 1000mm long in length laid to the </t>
  </si>
  <si>
    <t>top of windows and doors</t>
  </si>
  <si>
    <t xml:space="preserve">Galvanised wire ties etc </t>
  </si>
  <si>
    <t>4mm Diameter roof tie 2m girth bent double with one end fixed</t>
  </si>
  <si>
    <t xml:space="preserve"> to timber and other end built into brickwork (Provisional)</t>
  </si>
  <si>
    <t>NUTEC-CEMENT/FIBRE-CEMENT WINDOW SILLS</t>
  </si>
  <si>
    <t xml:space="preserve"> Nutec window internal sill, size 150mm x 15mm thick,</t>
  </si>
  <si>
    <t>N0</t>
  </si>
  <si>
    <t xml:space="preserve"> manufactured in accordance with SANS 803:2005 and installed</t>
  </si>
  <si>
    <t xml:space="preserve"> below window with window sill lug screwed to underside of sill</t>
  </si>
  <si>
    <t xml:space="preserve"> at 400mm centres, minimum of 75mm from end of window sill</t>
  </si>
  <si>
    <t xml:space="preserve"> and bedded in Class II mortar with plastic slip joints at end of</t>
  </si>
  <si>
    <t xml:space="preserve"> sills at plaster reveals and projecting from the finished face of</t>
  </si>
  <si>
    <t xml:space="preserve"> wall, all in accordance with the manufacturer's</t>
  </si>
  <si>
    <t xml:space="preserve"> recommendations. </t>
  </si>
  <si>
    <t>15mm x 150mm Wide sills set flat and slightly projecting</t>
  </si>
  <si>
    <t xml:space="preserve">WATERPROOFING </t>
  </si>
  <si>
    <t xml:space="preserve">DAMP-PROOFING OF WALLS AND FLOORS </t>
  </si>
  <si>
    <t>One layer of 375 micron Consol Plastic  Brikgrip DPC"</t>
  </si>
  <si>
    <t xml:space="preserve"> embossed damp proof course </t>
  </si>
  <si>
    <t xml:space="preserve">In walls </t>
  </si>
  <si>
    <t>One layer of 250 micron "Consol Plastic USB Green"</t>
  </si>
  <si>
    <t xml:space="preserve"> waterproof sheeting sealed at laps with "Gunplas Pressure</t>
  </si>
  <si>
    <t xml:space="preserve"> Sensitive Tape" </t>
  </si>
  <si>
    <t xml:space="preserve">Under surface beds </t>
  </si>
  <si>
    <t>Under roof tiles</t>
  </si>
  <si>
    <t xml:space="preserve">CARPENTRY AND JOINERY </t>
  </si>
  <si>
    <t xml:space="preserve">ROOFS ETC </t>
  </si>
  <si>
    <t xml:space="preserve">Sawn softwood </t>
  </si>
  <si>
    <t>38 x 114mm Wall plates</t>
  </si>
  <si>
    <t xml:space="preserve">Sundries </t>
  </si>
  <si>
    <t xml:space="preserve">Two coats creosote on sawn timbers </t>
  </si>
  <si>
    <t xml:space="preserve">EAVES, VERGES, ETC </t>
  </si>
  <si>
    <t xml:space="preserve">Everite FC77 pressed fibre-cement </t>
  </si>
  <si>
    <t>15  x 250mm Fascias and barge boards including galvanised</t>
  </si>
  <si>
    <t xml:space="preserve"> steel H-profile jointing strips</t>
  </si>
  <si>
    <t xml:space="preserve">DOORS, ETC </t>
  </si>
  <si>
    <t>44mm Wrought meranti framed, ledged, braced and battened</t>
  </si>
  <si>
    <t xml:space="preserve"> door of 44 x 150mm top rails and stiles, 22 x 150mm middle</t>
  </si>
  <si>
    <t xml:space="preserve"> legde and braces and 22 x 220mm bottom rail filled in with</t>
  </si>
  <si>
    <t xml:space="preserve"> 22mm V-jointed one side boarding  </t>
  </si>
  <si>
    <t>Door size 813 x 2032mm high including weatherboard</t>
  </si>
  <si>
    <t xml:space="preserve">44mm Semi-solid internal door with hardwood veneer </t>
  </si>
  <si>
    <t>painted (elsewhere measured)</t>
  </si>
  <si>
    <t xml:space="preserve">Door size 813 x 2032mm high </t>
  </si>
  <si>
    <t xml:space="preserve">CEILING CONSTRUCTION, CORNICES, ETC. </t>
  </si>
  <si>
    <t>CEILING</t>
  </si>
  <si>
    <t xml:space="preserve">Insulation </t>
  </si>
  <si>
    <t>50mm glass fibre insulation blanket to manufacturer's</t>
  </si>
  <si>
    <t xml:space="preserve"> specification, laid on ceiling.</t>
  </si>
  <si>
    <t>38 x 114mm Ceiling joists (Provisional)</t>
  </si>
  <si>
    <t xml:space="preserve">Rhino gypsum plasterboard cornices </t>
  </si>
  <si>
    <t>75mm Coved cornices</t>
  </si>
  <si>
    <t xml:space="preserve">NAILED UP AND SCREWED UP CEILINGS </t>
  </si>
  <si>
    <t>6mm  "Everite  Nutec"  fibre-cement boards with H-profile</t>
  </si>
  <si>
    <t xml:space="preserve"> primed steel jointing cover strips over joints </t>
  </si>
  <si>
    <t>Ceilings  including  38  x  38mm  brandering at 90deg to</t>
  </si>
  <si>
    <t xml:space="preserve"> trusses at maximum centres of 400mm by 32mm long</t>
  </si>
  <si>
    <t xml:space="preserve"> galvanised nails.</t>
  </si>
  <si>
    <t>Extra  over ceiling for opening for 610 x 610mm trap door of 50</t>
  </si>
  <si>
    <t xml:space="preserve"> x 76mm wrought softwood rebated framing with one 38 x</t>
  </si>
  <si>
    <t xml:space="preserve"> 38mm sawn softwood cross brander covered with ceiling board</t>
  </si>
  <si>
    <t xml:space="preserve"> and fitted flush in opening</t>
  </si>
  <si>
    <t>METAL WORK</t>
  </si>
  <si>
    <t>PRESSED STEEL COMBINATION DOORS AND</t>
  </si>
  <si>
    <t>PRESSED STEEL COMBINATION DOORS AND FRAMES</t>
  </si>
  <si>
    <t xml:space="preserve">Doors </t>
  </si>
  <si>
    <t>Doorframe size 813 x 2032mm high</t>
  </si>
  <si>
    <t xml:space="preserve">ALUMINIUM WINDOWS, DOORS, ETC </t>
  </si>
  <si>
    <t>Natural anodised</t>
  </si>
  <si>
    <t xml:space="preserve">Windows, size 1702 x 1248mm high </t>
  </si>
  <si>
    <t>Windows, size 633 x 633mm high</t>
  </si>
  <si>
    <t>Doors</t>
  </si>
  <si>
    <t xml:space="preserve">PLASTERING </t>
  </si>
  <si>
    <t xml:space="preserve">SCREEDS </t>
  </si>
  <si>
    <t xml:space="preserve">Screeds on concrete </t>
  </si>
  <si>
    <t>25mm Thick on floors</t>
  </si>
  <si>
    <t xml:space="preserve">INTERNAL PLASTER </t>
  </si>
  <si>
    <t xml:space="preserve">Cement plaster on brickwork </t>
  </si>
  <si>
    <t>On walls</t>
  </si>
  <si>
    <t>On narrow widths</t>
  </si>
  <si>
    <t xml:space="preserve">TILING  </t>
  </si>
  <si>
    <t xml:space="preserve">FLOOR TILING </t>
  </si>
  <si>
    <t>400 x 400 x 9,50mm Matt ceramic floor tiles (PC R200,00/m2</t>
  </si>
  <si>
    <t xml:space="preserve"> VAT excl. supplied and delivered to site) fixed with Ceresit</t>
  </si>
  <si>
    <t xml:space="preserve"> Tylon adhesive to screeds (screeds elsewhere) with straight</t>
  </si>
  <si>
    <t xml:space="preserve"> joints in both direction flush pointed with Ceresit Tylon 33 tinted</t>
  </si>
  <si>
    <t xml:space="preserve"> jointing compound </t>
  </si>
  <si>
    <t xml:space="preserve">On floors </t>
  </si>
  <si>
    <t>Skirting of 400 x 100mm high cut tile</t>
  </si>
  <si>
    <t xml:space="preserve">WALL TILING </t>
  </si>
  <si>
    <t>150 x 150mm Gloss ceramic wall tiles (PC R180,00/m2</t>
  </si>
  <si>
    <t xml:space="preserve"> Tylon adhesive to plaster (plaster elsewhere) with straight</t>
  </si>
  <si>
    <t>On Walls</t>
  </si>
  <si>
    <t>In narrow widths</t>
  </si>
  <si>
    <t xml:space="preserve">PAINTWORK </t>
  </si>
  <si>
    <t xml:space="preserve">PAINTWORK ETC TO NEW WORK </t>
  </si>
  <si>
    <t xml:space="preserve">ON FLOATED PLASTER </t>
  </si>
  <si>
    <t>Plascon Double Velvet to interior new cement plaster (NW</t>
  </si>
  <si>
    <t xml:space="preserve"> 200). </t>
  </si>
  <si>
    <t>Surface to be dry, sound and clean and cured for a minimum of</t>
  </si>
  <si>
    <t xml:space="preserve"> 14 days, with a moisture content measured with a Doser</t>
  </si>
  <si>
    <t xml:space="preserve"> Hygrometer (or equivalent), of BD 2 scale - 8% or less.  Prime</t>
  </si>
  <si>
    <t xml:space="preserve"> with one coat of Plascon Plaster Primer (UC 56) with an</t>
  </si>
  <si>
    <t xml:space="preserve"> overcoating time of 16 hours and finish with two coats of</t>
  </si>
  <si>
    <t xml:space="preserve"> Double Velvet (VEL) with 2 hours drying time between coats,</t>
  </si>
  <si>
    <t xml:space="preserve"> for a maintenance cycle of 7 years in a C1 - inland</t>
  </si>
  <si>
    <t xml:space="preserve"> environment. </t>
  </si>
  <si>
    <t>On internal walls</t>
  </si>
  <si>
    <t xml:space="preserve">ON FIBRE-CEMENT </t>
  </si>
  <si>
    <t>Plascon Polvin Super Acrylic to interior new fibre cement (NW</t>
  </si>
  <si>
    <t xml:space="preserve"> 205). </t>
  </si>
  <si>
    <t>Surface to be dry, sound and clean, with a moisture content,</t>
  </si>
  <si>
    <t xml:space="preserve"> measured with a Doser Hygrometer (or equivalent), of BD 2</t>
  </si>
  <si>
    <t xml:space="preserve"> scale - 8% or less.  Prime with one coat Plascon Plaster Primer</t>
  </si>
  <si>
    <t xml:space="preserve"> (UC 56) with an overcoating time of 16 hours and finish with</t>
  </si>
  <si>
    <t xml:space="preserve"> two coats Polvin Super Acrylic (EPL) with 1 hour drying time</t>
  </si>
  <si>
    <t xml:space="preserve"> between coats, for a maintenance cycle of 5 years in a C1 -</t>
  </si>
  <si>
    <t xml:space="preserve"> inland environment. </t>
  </si>
  <si>
    <t>On ceilings</t>
  </si>
  <si>
    <t>Prepare and apply one universal undercoat and two coats gloss</t>
  </si>
  <si>
    <t xml:space="preserve"> enamel paint </t>
  </si>
  <si>
    <t>On fascias and barge boards</t>
  </si>
  <si>
    <t>Plascon Sure Coat Gloss Enamel to interior new fibre cement</t>
  </si>
  <si>
    <t xml:space="preserve"> (NW 274). </t>
  </si>
  <si>
    <t xml:space="preserve"> scale - 8% or less.  Prime with one coat of Plascon Plaster</t>
  </si>
  <si>
    <t xml:space="preserve"> Primer (UC 56) with an overcoating time of 16 hours and finish</t>
  </si>
  <si>
    <t xml:space="preserve"> with two coats of Sure Coat Gloss Enamel (SGE) with 16 hours</t>
  </si>
  <si>
    <t xml:space="preserve"> drying time between coats, for a maintenance cycle of 4 years</t>
  </si>
  <si>
    <t xml:space="preserve"> in a C1 - inland environment. </t>
  </si>
  <si>
    <t>On  window sills not exceeding 300 mm girth</t>
  </si>
  <si>
    <t xml:space="preserve">ON METAL </t>
  </si>
  <si>
    <t xml:space="preserve">Plascon Velvaglo Satin to exterior new mild steel (NW 683). </t>
  </si>
  <si>
    <t>Prepare surfaces, clean and dry.  Remove surface</t>
  </si>
  <si>
    <t xml:space="preserve"> contaminants using Plascon Aquasolv Degreaser (GR 1) with</t>
  </si>
  <si>
    <t xml:space="preserve"> bristle brush or Brillo pads.  Rinse thoroughly with tap water</t>
  </si>
  <si>
    <t xml:space="preserve"> until surface is water break-free.  Remove rust and millscale by</t>
  </si>
  <si>
    <t xml:space="preserve"> abrasive blasting to ISO 8501 - 01:1988 - Sa2╜ or by</t>
  </si>
  <si>
    <t xml:space="preserve"> hand/mechanical wire brushing to St3of the same standard.</t>
  </si>
  <si>
    <t xml:space="preserve"> Allow to dry completely and prime within 4 hours of cleaning.</t>
  </si>
  <si>
    <t xml:space="preserve"> Prime with one coat of Metal Primer (UC 501) with an</t>
  </si>
  <si>
    <t xml:space="preserve"> Velvaglo Satin (VLO) with 16 hours drying time between coats,</t>
  </si>
  <si>
    <t xml:space="preserve"> for a maintenance cycle of 3 years in a C1 - inland</t>
  </si>
  <si>
    <t xml:space="preserve">On door frames </t>
  </si>
  <si>
    <t xml:space="preserve"> measured over the full flat area )</t>
  </si>
  <si>
    <t xml:space="preserve">ON WOOD </t>
  </si>
  <si>
    <t>Plascon Woodcare Clear Varnish to exterior new wood (NW</t>
  </si>
  <si>
    <t xml:space="preserve"> 553). </t>
  </si>
  <si>
    <t>Surface to be dry, sound and clean.  Wash knots and resinous</t>
  </si>
  <si>
    <t xml:space="preserve"> areas with Lacquer Thinners (ILS 1) and coat with Woodcare</t>
  </si>
  <si>
    <t xml:space="preserve"> Knot Seal (PK 2) and apply one coat of Plascon Woodcare</t>
  </si>
  <si>
    <t xml:space="preserve"> Pretreatment (WWP 1), overcoated within 48 hours with a</t>
  </si>
  <si>
    <t xml:space="preserve"> moisture content, measured with a Doser Hygrometer (or</t>
  </si>
  <si>
    <t xml:space="preserve"> equivalent), of BD 2 scale (A1-A5) &lt; 14% or less.  Prime with</t>
  </si>
  <si>
    <t xml:space="preserve"> one coat Woodcare Clear Varnish  (CVE 5) with an overcoating</t>
  </si>
  <si>
    <t xml:space="preserve"> time of 16 hours and finish with two coats Woodcare Clear</t>
  </si>
  <si>
    <t xml:space="preserve"> Varnish (CVE 5) with 16 hours drying time between coats, for a</t>
  </si>
  <si>
    <t xml:space="preserve"> maintenance cycle of 2 years in a C1 - inland environment. </t>
  </si>
  <si>
    <t xml:space="preserve">On doors </t>
  </si>
  <si>
    <t>WORKSHOP</t>
  </si>
  <si>
    <t>Install Transfer station as per design drawings complete with roof structures, floors and all fittings and connections</t>
  </si>
  <si>
    <t>(1) above</t>
  </si>
  <si>
    <t>Prov Sum</t>
  </si>
  <si>
    <t>ABLUTION</t>
  </si>
  <si>
    <t xml:space="preserve">FOUNDATIONS </t>
  </si>
  <si>
    <t xml:space="preserve">SITE CLEARANCE ETC </t>
  </si>
  <si>
    <t xml:space="preserve">Trenches </t>
  </si>
  <si>
    <t xml:space="preserve">Soft rock </t>
  </si>
  <si>
    <t xml:space="preserve">Hard rock </t>
  </si>
  <si>
    <t>Bases</t>
  </si>
  <si>
    <t xml:space="preserve">REINFORCEMENT </t>
  </si>
  <si>
    <t xml:space="preserve">High tensile steel reinforcement to structural concrete work </t>
  </si>
  <si>
    <t xml:space="preserve">12mm Diameter bars </t>
  </si>
  <si>
    <t xml:space="preserve">Mild steel reinforcement to structural concrete work </t>
  </si>
  <si>
    <t xml:space="preserve">10mm Diameter bars </t>
  </si>
  <si>
    <t>t</t>
  </si>
  <si>
    <t xml:space="preserve">Ramps </t>
  </si>
  <si>
    <t>Mesh Reinforcement</t>
  </si>
  <si>
    <t xml:space="preserve">SUPERSTRUCTURE </t>
  </si>
  <si>
    <t xml:space="preserve">CEILING , ETC. </t>
  </si>
  <si>
    <t xml:space="preserve">METALWORK </t>
  </si>
  <si>
    <t xml:space="preserve"> FRAMES </t>
  </si>
  <si>
    <t xml:space="preserve">Windows, size 900 x 1248mm high </t>
  </si>
  <si>
    <t>On External walls</t>
  </si>
  <si>
    <t>SECTION 9 : OFFICE BLOCKS</t>
  </si>
  <si>
    <t>DISTRIBUTION BOARDS</t>
  </si>
  <si>
    <t>Supply and install the following distribution boards according to the layout drawings and schematic diagrams.</t>
  </si>
  <si>
    <t>DB B recessed (Workshop)(Preliminary amount)(40% spare capacity)</t>
  </si>
  <si>
    <t>ea</t>
  </si>
  <si>
    <t>Telkom Main DB  (450mmX450mm) External-recessed</t>
  </si>
  <si>
    <t>SOCKET OUTLET</t>
  </si>
  <si>
    <t xml:space="preserve">Supply and install the following 16A 3-pin socket outlets as indicated on the drawing. </t>
  </si>
  <si>
    <t>Double in wall, 0.6m AFFL</t>
  </si>
  <si>
    <t>Unswitched plug sockets to fit into 50mm drawboxes</t>
  </si>
  <si>
    <t>LIGHT FITTINGS AND SWITCHING</t>
  </si>
  <si>
    <t xml:space="preserve">Supply and install the following according to the drawings. </t>
  </si>
  <si>
    <t>(3.1 to be supplied with 3m power cables with 5A plugs)</t>
  </si>
  <si>
    <t>Fitting A (4 x 54W T5 T-Bay luminaires complete with hanger brackets from P2000 trunking)</t>
  </si>
  <si>
    <t>P2000 trunking with hanger brackets from roof in centre.</t>
  </si>
  <si>
    <t>Fitting B (22W LED panel IP65 bulkheads-round white)</t>
  </si>
  <si>
    <t>Photocell</t>
  </si>
  <si>
    <t xml:space="preserve">Light Switch-Single lever </t>
  </si>
  <si>
    <t>DRAW BOXES</t>
  </si>
  <si>
    <t>Supply and install the following, cast into concrete, built into brickwork.</t>
  </si>
  <si>
    <t>50mm dia PVC</t>
  </si>
  <si>
    <t>2X4 Wall box</t>
  </si>
  <si>
    <t>4x4 Wall box</t>
  </si>
  <si>
    <t>PVC CONDUIT</t>
  </si>
  <si>
    <t>Supply and install the following, cast into concrete, chased brickwork or surface mounted.</t>
  </si>
  <si>
    <t>20mm dia-light circuits</t>
  </si>
  <si>
    <t>25mm dia-plugs</t>
  </si>
  <si>
    <t>SLEEVES FOR POWER AND TELEPHONE</t>
  </si>
  <si>
    <t>110mm dia</t>
  </si>
  <si>
    <t>50mm dia (flexible)</t>
  </si>
  <si>
    <t xml:space="preserve">25mm dia </t>
  </si>
  <si>
    <t>PVC INSULATED WIRE</t>
  </si>
  <si>
    <t>Supply and install 660/1000V grade PVC insulated copper wire into power skirting, conduit and wiring channel</t>
  </si>
  <si>
    <t>DRAW WIRES</t>
  </si>
  <si>
    <t>Supply and install draw wire in conduit for telephone and data.(Note: minimum of 2 draw wires per pipe)</t>
  </si>
  <si>
    <t>Galvanised draw wire</t>
  </si>
  <si>
    <t>TELEPHONE AND DATA INSTALLATION</t>
  </si>
  <si>
    <t>Provide for the following data and telephone points as indicated on the drawings</t>
  </si>
  <si>
    <t>Telephone socket in wall fed from external DB)</t>
  </si>
  <si>
    <t>EARTHING AND LIGHTNING PROTECTION</t>
  </si>
  <si>
    <t>Provide for the earthing and lightning protection for the complete installation. (By Specialist)</t>
  </si>
  <si>
    <t xml:space="preserve">Building </t>
  </si>
  <si>
    <t>sum</t>
  </si>
  <si>
    <t xml:space="preserve">LABELING </t>
  </si>
  <si>
    <t>Labelling of all outlet points and distribution boards in all the buildings</t>
  </si>
  <si>
    <t>All outlet points must be labelled on the cover plate, indicating the DB and circuit.</t>
  </si>
  <si>
    <t>SECTION 11 : WORKSHOP</t>
  </si>
  <si>
    <r>
      <t>2.5mm</t>
    </r>
    <r>
      <rPr>
        <vertAlign val="superscript"/>
        <sz val="11"/>
        <rFont val="Arial"/>
        <family val="2"/>
      </rPr>
      <t>2</t>
    </r>
  </si>
  <si>
    <r>
      <t>4mm</t>
    </r>
    <r>
      <rPr>
        <vertAlign val="superscript"/>
        <sz val="11"/>
        <rFont val="Arial"/>
        <family val="2"/>
      </rPr>
      <t>2</t>
    </r>
  </si>
  <si>
    <r>
      <t>2.5mm</t>
    </r>
    <r>
      <rPr>
        <vertAlign val="superscript"/>
        <sz val="11"/>
        <rFont val="Arial"/>
        <family val="2"/>
      </rPr>
      <t>2</t>
    </r>
    <r>
      <rPr>
        <sz val="11"/>
        <rFont val="Arial"/>
        <family val="2"/>
      </rPr>
      <t xml:space="preserve"> earth wire</t>
    </r>
  </si>
  <si>
    <t>DB C recessed (Ablution)(Provisional)</t>
  </si>
  <si>
    <t>Fitting A (15W LED panel light-downlighter recessed)</t>
  </si>
  <si>
    <t>Fitting B (22W LED panel - IP65 bulkhead S/M white)</t>
  </si>
  <si>
    <t>SECTION 10 : OFFICE BLOCKS ELECTRICAL</t>
  </si>
  <si>
    <t>DB A (Admin)(Preliminary amount)</t>
  </si>
  <si>
    <t>Telkom DB  (450mmX450mm) External-recessed</t>
  </si>
  <si>
    <t>POWER SKIRTING</t>
  </si>
  <si>
    <t xml:space="preserve">Supply and install the following power skirting by O-line. </t>
  </si>
  <si>
    <t>Multiskirt Power Skirting (2 Channel with partitioning)</t>
  </si>
  <si>
    <t>MS2 165x55 (Sub-partitioning for Data/Telephone)</t>
  </si>
  <si>
    <t>Complete with all accessories.(colour -grey)</t>
  </si>
  <si>
    <t>EQUIPMENT ISOLATORS</t>
  </si>
  <si>
    <t>Supply and install the following equipment isolators in the positions indicated on the drawings.</t>
  </si>
  <si>
    <t>Air Conditioning 20A Single Phase (Flush/ceiling)</t>
  </si>
  <si>
    <t>Single mains outlet in  power skirting -MS 16A SSO</t>
  </si>
  <si>
    <t>Single dedicated outlet in power skirting-MS16A SSO DED</t>
  </si>
  <si>
    <t>(5.1 &amp; 5.2  to be supplied with 3m power cables with 5A plugs)</t>
  </si>
  <si>
    <t>Fitting A (2x35W T5 Double parabolic recessed 600x1200 )</t>
  </si>
  <si>
    <t>Fitting B (15W LED panel light - recessed downlighters)</t>
  </si>
  <si>
    <t>Fitting C (22W LED panel IP65 bulkheads-round white)</t>
  </si>
  <si>
    <t>Light Switch-Tripple lever</t>
  </si>
  <si>
    <t>25mm dia-plugs/isolators/tel</t>
  </si>
  <si>
    <t>Provide for the following data and telephone points as indicated on the drawings. Equipment supplied, wired and installed by others. (Conduit and draw boxes measured elsewhere)</t>
  </si>
  <si>
    <t>Telephone socket in powerskirting -MS RJ11 TEL</t>
  </si>
  <si>
    <t>Data Socket in Powerskirting-MS RJ45 DATA</t>
  </si>
  <si>
    <t>SECTION 12 : WORKSHOP ELECTRICAL</t>
  </si>
  <si>
    <t>SECTION 13 : ABLUTION</t>
  </si>
  <si>
    <t>SECTION 14 : ABLUTION ELECTRICAL</t>
  </si>
  <si>
    <r>
      <t xml:space="preserve">           10000</t>
    </r>
    <r>
      <rPr>
        <i/>
        <sz val="11"/>
        <rFont val="Arial"/>
        <family val="2"/>
      </rPr>
      <t>l</t>
    </r>
  </si>
  <si>
    <t>Supply and dilivery of landfill operation equipment such as Landfill compactor, Excavator and Dozer</t>
  </si>
  <si>
    <t xml:space="preserve">LANDFILL MACHINARY </t>
  </si>
  <si>
    <t>SECTION 12 : LANDFILL EQUIPMENT</t>
  </si>
  <si>
    <t>QTY.</t>
  </si>
  <si>
    <t>TENDER</t>
  </si>
  <si>
    <t>TOTAL</t>
  </si>
  <si>
    <t>TENDERED AMOUNT</t>
  </si>
  <si>
    <t>CONSTRUCTION OF GIYANI WASTE DISPOSAL SITE</t>
  </si>
  <si>
    <t>B3</t>
  </si>
  <si>
    <t>CONTRACTOR PAYMENT COVER SHEET</t>
  </si>
  <si>
    <t xml:space="preserve">                         SUMMARY OF CESSION PAYMENTS ON CERTIFICATE</t>
  </si>
  <si>
    <t>PROJECT   DESCRIPTION       :</t>
  </si>
  <si>
    <t>No. :</t>
  </si>
  <si>
    <t>CERT. No. :</t>
  </si>
  <si>
    <t>CONTRACTOR :</t>
  </si>
  <si>
    <r>
      <t xml:space="preserve">1.  </t>
    </r>
    <r>
      <rPr>
        <sz val="8"/>
        <rFont val="Book Antiqua"/>
        <family val="1"/>
      </rPr>
      <t xml:space="preserve"> I hereby certify that the project has been inspected and that the</t>
    </r>
  </si>
  <si>
    <r>
      <t>3.</t>
    </r>
    <r>
      <rPr>
        <sz val="8"/>
        <rFont val="Book Antiqua"/>
        <family val="1"/>
      </rPr>
      <t xml:space="preserve">   I certify that the above-mentioned work has executed satisfactorily  </t>
    </r>
  </si>
  <si>
    <t>work has been executed satisfactorily and according to specification</t>
  </si>
  <si>
    <t>and that the work to the value of the amount has been performed</t>
  </si>
  <si>
    <t>VALUE OF PRESENT CLAIM------------------ "subtotal    A"</t>
  </si>
  <si>
    <t>and that the quantities and prices shown are correct.</t>
  </si>
  <si>
    <t xml:space="preserve">    LESS               ------------------- all cessions</t>
  </si>
  <si>
    <t>[F]</t>
  </si>
  <si>
    <t>.........................................................</t>
  </si>
  <si>
    <t xml:space="preserve">                   Date </t>
  </si>
  <si>
    <t xml:space="preserve">                       Engineer</t>
  </si>
  <si>
    <t xml:space="preserve">               Date                </t>
  </si>
  <si>
    <t xml:space="preserve">     On behalf of Local Municipality</t>
  </si>
  <si>
    <r>
      <t xml:space="preserve">           </t>
    </r>
    <r>
      <rPr>
        <b/>
        <sz val="7"/>
        <rFont val="Book Antiqua"/>
        <family val="1"/>
      </rPr>
      <t xml:space="preserve"> Name: </t>
    </r>
    <r>
      <rPr>
        <sz val="7"/>
        <rFont val="Book Antiqua"/>
        <family val="1"/>
      </rPr>
      <t xml:space="preserve">            </t>
    </r>
  </si>
  <si>
    <r>
      <t xml:space="preserve">                  </t>
    </r>
    <r>
      <rPr>
        <b/>
        <sz val="7"/>
        <rFont val="Book Antiqua"/>
        <family val="1"/>
      </rPr>
      <t xml:space="preserve"> Name:</t>
    </r>
  </si>
  <si>
    <t>10 % RETENTION MONEY on this certificate</t>
  </si>
  <si>
    <t>B</t>
  </si>
  <si>
    <t>Capacity    :</t>
  </si>
  <si>
    <r>
      <t xml:space="preserve">            </t>
    </r>
    <r>
      <rPr>
        <b/>
        <sz val="7"/>
        <rFont val="Book Antiqua"/>
        <family val="1"/>
      </rPr>
      <t xml:space="preserve">Capacity:         </t>
    </r>
    <r>
      <rPr>
        <sz val="7"/>
        <rFont val="Book Antiqua"/>
        <family val="1"/>
      </rPr>
      <t xml:space="preserve">                   </t>
    </r>
  </si>
  <si>
    <t>Account reference No.    :</t>
  </si>
  <si>
    <r>
      <t xml:space="preserve">2. </t>
    </r>
    <r>
      <rPr>
        <sz val="8"/>
        <rFont val="Book Antiqua"/>
        <family val="1"/>
      </rPr>
      <t xml:space="preserve">I hereby certify that I have inspected this claim and I am satisfied that </t>
    </r>
  </si>
  <si>
    <r>
      <t xml:space="preserve">4. </t>
    </r>
    <r>
      <rPr>
        <sz val="8"/>
        <rFont val="Book Antiqua"/>
        <family val="1"/>
      </rPr>
      <t>I certify that I have inspected this claim and I am satisfied that payment as</t>
    </r>
  </si>
  <si>
    <t>payment as indicated can be made.</t>
  </si>
  <si>
    <t>indicated can be made.</t>
  </si>
  <si>
    <t xml:space="preserve">        ………………..                                  </t>
  </si>
  <si>
    <t>........................................................</t>
  </si>
  <si>
    <t>CESSION PAYMENTS INCLUDED IN THIS CERTIFICATE</t>
  </si>
  <si>
    <t>SUPPLIER</t>
  </si>
  <si>
    <t xml:space="preserve">             Date                    </t>
  </si>
  <si>
    <t>On behalf of Steering Comm.</t>
  </si>
  <si>
    <t xml:space="preserve">        ………………..              </t>
  </si>
  <si>
    <t>SIGNATURE</t>
  </si>
  <si>
    <t xml:space="preserve">               Date                            </t>
  </si>
  <si>
    <t>On behalf of Implementing agent</t>
  </si>
  <si>
    <t>1]</t>
  </si>
  <si>
    <t>C</t>
  </si>
  <si>
    <r>
      <t xml:space="preserve">     </t>
    </r>
    <r>
      <rPr>
        <b/>
        <sz val="7"/>
        <rFont val="Book Antiqua"/>
        <family val="1"/>
      </rPr>
      <t xml:space="preserve">      Name: </t>
    </r>
    <r>
      <rPr>
        <sz val="7"/>
        <rFont val="Book Antiqua"/>
        <family val="1"/>
      </rPr>
      <t xml:space="preserve">                                    </t>
    </r>
  </si>
  <si>
    <t>VAT cert. no</t>
  </si>
  <si>
    <r>
      <t xml:space="preserve">              </t>
    </r>
    <r>
      <rPr>
        <b/>
        <sz val="7"/>
        <rFont val="Book Antiqua"/>
        <family val="1"/>
      </rPr>
      <t xml:space="preserve"> Name: </t>
    </r>
  </si>
  <si>
    <t>......................................................</t>
  </si>
  <si>
    <r>
      <t>Designation:</t>
    </r>
    <r>
      <rPr>
        <sz val="7"/>
        <rFont val="Book Antiqua"/>
        <family val="1"/>
      </rPr>
      <t xml:space="preserve">                        </t>
    </r>
  </si>
  <si>
    <t>VAT incl / excl  ?</t>
  </si>
  <si>
    <t>incl</t>
  </si>
  <si>
    <t>2]</t>
  </si>
  <si>
    <t>BLM</t>
  </si>
  <si>
    <t xml:space="preserve">Contract amount as awarded     </t>
  </si>
  <si>
    <t>vat excl</t>
  </si>
  <si>
    <t>Additional expenditure authorized</t>
  </si>
  <si>
    <t>MIG</t>
  </si>
  <si>
    <t>ADDRESS :</t>
  </si>
  <si>
    <t>sub total</t>
  </si>
  <si>
    <t>3]</t>
  </si>
  <si>
    <t>E</t>
  </si>
  <si>
    <t>VAT</t>
  </si>
  <si>
    <t>TOTAL  APPROVED  AMOUNT</t>
  </si>
  <si>
    <t>TEL  :</t>
  </si>
  <si>
    <t>FAX :</t>
  </si>
  <si>
    <r>
      <t xml:space="preserve">SUMMARY  OF  </t>
    </r>
    <r>
      <rPr>
        <b/>
        <u/>
        <sz val="9"/>
        <rFont val="Book Antiqua"/>
        <family val="1"/>
      </rPr>
      <t xml:space="preserve">PREVIOUS </t>
    </r>
    <r>
      <rPr>
        <b/>
        <sz val="8"/>
        <rFont val="Book Antiqua"/>
        <family val="1"/>
      </rPr>
      <t xml:space="preserve"> CLAIMS</t>
    </r>
  </si>
  <si>
    <t>4]</t>
  </si>
  <si>
    <t>F</t>
  </si>
  <si>
    <t>Certificate No.</t>
  </si>
  <si>
    <t>Date</t>
  </si>
  <si>
    <t>Amount              (VAT excl)</t>
  </si>
  <si>
    <t>Amount               (vat excl)</t>
  </si>
  <si>
    <t>total</t>
  </si>
  <si>
    <t>of</t>
  </si>
  <si>
    <t>"amount"</t>
  </si>
  <si>
    <t>5]</t>
  </si>
  <si>
    <t>G</t>
  </si>
  <si>
    <t>THIS  CERTIFICATE  No.      :</t>
  </si>
  <si>
    <t>is this a cert. of completion</t>
  </si>
  <si>
    <r>
      <t xml:space="preserve">PARTICULARS OF </t>
    </r>
    <r>
      <rPr>
        <b/>
        <u/>
        <sz val="10"/>
        <rFont val="Book Antiqua"/>
        <family val="1"/>
      </rPr>
      <t>PRESENT</t>
    </r>
    <r>
      <rPr>
        <b/>
        <sz val="8"/>
        <rFont val="Book Antiqua"/>
        <family val="1"/>
      </rPr>
      <t xml:space="preserve"> CLAIM </t>
    </r>
  </si>
  <si>
    <t>12 mth retention</t>
  </si>
  <si>
    <t>CONTRACT AMOUNTS</t>
  </si>
  <si>
    <t>6]</t>
  </si>
  <si>
    <t>H</t>
  </si>
  <si>
    <t>TO  CONTRACTOR  FOR  WORK  DONE  UP  TO   DATE      :</t>
  </si>
  <si>
    <t>Value of all work done [including cession payments] up to date</t>
  </si>
  <si>
    <t>[VAT excl.]</t>
  </si>
  <si>
    <t>Value of all Nominated sub contractors work up to date</t>
  </si>
  <si>
    <t>LIST OF ALL CESSION HOLDERS ON PROJECT</t>
  </si>
  <si>
    <t>Escalation of cost up to date</t>
  </si>
  <si>
    <t>SUPPLIERS</t>
  </si>
  <si>
    <t>VALUE</t>
  </si>
  <si>
    <t xml:space="preserve"> PAYMENT TO</t>
  </si>
  <si>
    <t>[ A ]</t>
  </si>
  <si>
    <t>SUBTOTAL</t>
  </si>
  <si>
    <t>CONTRACTOR</t>
  </si>
  <si>
    <r>
      <t xml:space="preserve">        </t>
    </r>
    <r>
      <rPr>
        <b/>
        <sz val="10"/>
        <rFont val="Arial"/>
        <family val="2"/>
      </rPr>
      <t>Less</t>
    </r>
    <r>
      <rPr>
        <sz val="10"/>
        <rFont val="Arial"/>
        <family val="2"/>
      </rPr>
      <t xml:space="preserve">  Penalties applicable</t>
    </r>
  </si>
  <si>
    <r>
      <t xml:space="preserve">       </t>
    </r>
    <r>
      <rPr>
        <b/>
        <sz val="10"/>
        <rFont val="Arial"/>
        <family val="2"/>
      </rPr>
      <t xml:space="preserve"> Less</t>
    </r>
    <r>
      <rPr>
        <sz val="10"/>
        <rFont val="Arial"/>
        <family val="2"/>
      </rPr>
      <t xml:space="preserve"> all previous payments [VAT excl] made up to certificate no.</t>
    </r>
  </si>
  <si>
    <t>TOTAL OF</t>
  </si>
  <si>
    <t>[ B ]</t>
  </si>
  <si>
    <t>I</t>
  </si>
  <si>
    <t>RETENTION</t>
  </si>
  <si>
    <r>
      <t xml:space="preserve">        </t>
    </r>
    <r>
      <rPr>
        <b/>
        <sz val="10"/>
        <rFont val="Arial"/>
        <family val="2"/>
      </rPr>
      <t>Plus</t>
    </r>
    <r>
      <rPr>
        <sz val="10"/>
        <rFont val="Arial"/>
        <family val="2"/>
      </rPr>
      <t xml:space="preserve"> materials on site @ 80 % of  invoiced payments</t>
    </r>
  </si>
  <si>
    <t>(A)</t>
  </si>
  <si>
    <t>[ C+D+E+F+G+H ]</t>
  </si>
  <si>
    <r>
      <t xml:space="preserve">              TOTAL OF </t>
    </r>
    <r>
      <rPr>
        <b/>
        <u/>
        <sz val="10"/>
        <rFont val="Book Antiqua"/>
        <family val="1"/>
      </rPr>
      <t>PRESENT</t>
    </r>
    <r>
      <rPr>
        <b/>
        <sz val="8"/>
        <rFont val="Book Antiqua"/>
        <family val="1"/>
      </rPr>
      <t xml:space="preserve"> CLAIM</t>
    </r>
  </si>
  <si>
    <t>AMOUNT IN WORDS :</t>
  </si>
  <si>
    <t>CESSIONS</t>
  </si>
  <si>
    <t>CATEGORY</t>
  </si>
  <si>
    <t>SUMMARY OF PREVIOUS RETENTION &amp; SURITY RETAINED</t>
  </si>
  <si>
    <r>
      <t>total value</t>
    </r>
    <r>
      <rPr>
        <sz val="8"/>
        <rFont val="Arial"/>
        <family val="2"/>
      </rPr>
      <t xml:space="preserve"> of retention</t>
    </r>
  </si>
  <si>
    <t>total in ret.</t>
  </si>
  <si>
    <r>
      <t xml:space="preserve">TOTAL                     </t>
    </r>
    <r>
      <rPr>
        <b/>
        <sz val="7"/>
        <rFont val="Arial"/>
        <family val="2"/>
      </rPr>
      <t xml:space="preserve">     [ VAT incl ]</t>
    </r>
  </si>
  <si>
    <t>surety limit %</t>
  </si>
  <si>
    <t>Certificate no</t>
  </si>
  <si>
    <t>Amount</t>
  </si>
  <si>
    <r>
      <t>previous</t>
    </r>
    <r>
      <rPr>
        <sz val="8"/>
        <rFont val="Arial"/>
        <family val="2"/>
      </rPr>
      <t xml:space="preserve"> retention held</t>
    </r>
  </si>
  <si>
    <t>account</t>
  </si>
  <si>
    <t>surity bond</t>
  </si>
  <si>
    <t>no</t>
  </si>
  <si>
    <r>
      <t xml:space="preserve">retention on </t>
    </r>
    <r>
      <rPr>
        <b/>
        <sz val="8"/>
        <rFont val="Arial"/>
        <family val="2"/>
      </rPr>
      <t>this</t>
    </r>
    <r>
      <rPr>
        <sz val="8"/>
        <rFont val="Arial"/>
        <family val="2"/>
      </rPr>
      <t xml:space="preserve"> certificate</t>
    </r>
  </si>
  <si>
    <t>cash</t>
  </si>
  <si>
    <r>
      <t xml:space="preserve">retention to be </t>
    </r>
    <r>
      <rPr>
        <b/>
        <sz val="8"/>
        <rFont val="Arial"/>
        <family val="2"/>
      </rPr>
      <t>paid out</t>
    </r>
  </si>
  <si>
    <t>to be paid</t>
  </si>
  <si>
    <t>reten. limit  %</t>
  </si>
  <si>
    <r>
      <t xml:space="preserve">on </t>
    </r>
    <r>
      <rPr>
        <b/>
        <sz val="8"/>
        <rFont val="Arial"/>
        <family val="2"/>
      </rPr>
      <t>completion</t>
    </r>
    <r>
      <rPr>
        <sz val="8"/>
        <rFont val="Arial"/>
        <family val="2"/>
      </rPr>
      <t xml:space="preserve"> certificate %</t>
    </r>
  </si>
  <si>
    <t>from ret.</t>
  </si>
  <si>
    <t>contr.  bond</t>
  </si>
  <si>
    <r>
      <t xml:space="preserve">on </t>
    </r>
    <r>
      <rPr>
        <b/>
        <sz val="8"/>
        <rFont val="Arial"/>
        <family val="2"/>
      </rPr>
      <t>retention</t>
    </r>
    <r>
      <rPr>
        <sz val="8"/>
        <rFont val="Arial"/>
        <family val="2"/>
      </rPr>
      <t xml:space="preserve"> certificate %</t>
    </r>
  </si>
  <si>
    <t>maint.  bond</t>
  </si>
  <si>
    <t xml:space="preserve">       signed by engineer</t>
  </si>
  <si>
    <t xml:space="preserve">      signed by contractor</t>
  </si>
  <si>
    <t>total reten.</t>
  </si>
  <si>
    <t>PAYMENT TO CONTRACTOR   :</t>
  </si>
  <si>
    <t xml:space="preserve">&amp; cash to </t>
  </si>
  <si>
    <t xml:space="preserve">   total previous retention</t>
  </si>
  <si>
    <t>RETENTION TO RETENTION ACCOUNT.  :</t>
  </si>
  <si>
    <t>…………….</t>
  </si>
  <si>
    <t>ALL SESSION PAYMENTS :</t>
  </si>
  <si>
    <r>
      <t xml:space="preserve">                     ( details on sheet  </t>
    </r>
    <r>
      <rPr>
        <b/>
        <sz val="7"/>
        <rFont val="Book Antiqua"/>
        <family val="1"/>
      </rPr>
      <t xml:space="preserve">B3 </t>
    </r>
    <r>
      <rPr>
        <sz val="7"/>
        <rFont val="Book Antiqua"/>
        <family val="1"/>
      </rPr>
      <t>)</t>
    </r>
  </si>
  <si>
    <t>date</t>
  </si>
  <si>
    <t>Funding Agent</t>
  </si>
  <si>
    <t>Accumalitive previous claims</t>
  </si>
  <si>
    <t>This cert</t>
  </si>
  <si>
    <t>Balance</t>
  </si>
  <si>
    <t>DWAF</t>
  </si>
  <si>
    <t>CMIP</t>
  </si>
  <si>
    <t>Municipality</t>
  </si>
  <si>
    <t>Other (VAT)</t>
  </si>
  <si>
    <t>EXCL VAT</t>
  </si>
  <si>
    <t>INCL VAT</t>
  </si>
  <si>
    <t>CONTRACTOR AMOUNT AS AWARDED:</t>
  </si>
  <si>
    <t>GURANTEE AT 10%</t>
  </si>
  <si>
    <t>Retention Full amount @ 10%</t>
  </si>
  <si>
    <t>CERTIFICATE SUMMARY</t>
  </si>
  <si>
    <t>Cumm Amnt In Ret Account</t>
  </si>
  <si>
    <t>Cumm Guarantee</t>
  </si>
  <si>
    <t>cumm Ret</t>
  </si>
  <si>
    <t>CERT NO</t>
  </si>
  <si>
    <t>Total Cert Amount</t>
  </si>
  <si>
    <t>10 % Ret Amount</t>
  </si>
  <si>
    <t>Guarantee Amount</t>
  </si>
  <si>
    <t>% of 10% Gurantee</t>
  </si>
  <si>
    <t>Payment to Contractor</t>
  </si>
  <si>
    <t>Amonut for Ret Acc</t>
  </si>
  <si>
    <t>Cession Payments</t>
  </si>
  <si>
    <t>80% Materials on Site Paid</t>
  </si>
  <si>
    <t>awarded</t>
  </si>
  <si>
    <t>less cont @ 2.5%</t>
  </si>
  <si>
    <t>due incl vat</t>
  </si>
  <si>
    <t>v.o.w done excl vat</t>
  </si>
  <si>
    <t>TOTALS</t>
  </si>
  <si>
    <t xml:space="preserve">  IMPLEMENTING  AGENT: GREATER GIYANI MUNICIPALITY</t>
  </si>
  <si>
    <t>PROJECT FUNDER : M.I.G</t>
  </si>
  <si>
    <t xml:space="preserve">MIG  No:  </t>
  </si>
  <si>
    <t xml:space="preserve">     PROJECT   NAME :</t>
  </si>
  <si>
    <t xml:space="preserve">         </t>
  </si>
  <si>
    <t>1.   CERTIFICATION BY THE IMPLEMENTING AGENT:</t>
  </si>
  <si>
    <t xml:space="preserve"> 1.1     I hereby certify that the project was inspected by me and that the work as per the value claimed has been done according to specifications and that the quantities and prices shown are correct.</t>
  </si>
  <si>
    <t xml:space="preserve">    Date </t>
  </si>
  <si>
    <t>Name of Engineer</t>
  </si>
  <si>
    <t>Signature</t>
  </si>
  <si>
    <t>2. CERTIFICATION BY COMMUNITY LIASON OFFICER/ WARD COUNCILLOR:  (ONLY REQUIRED DURING CONSTRUCTION STAGE)</t>
  </si>
  <si>
    <t xml:space="preserve">    2.1    I hereby certify that the work has been executed satisfactorily and that work to the value has been done.</t>
  </si>
  <si>
    <t>……………………………………………………….</t>
  </si>
  <si>
    <t>Name of C.L.O/ Ward Cllr</t>
  </si>
  <si>
    <t>3. CERTIFICATION BY MIG MANAGER:</t>
  </si>
  <si>
    <t xml:space="preserve">   3.1     I hereby certify that the project has been inspected by me and that the work has been executed satisfactorily and that work to the value claimed has been performed.</t>
  </si>
  <si>
    <t>………………………………………………………</t>
  </si>
  <si>
    <t>Name of IA MIG Manager</t>
  </si>
  <si>
    <t>4. PAYMENT AUTHORISATIONS:</t>
  </si>
  <si>
    <t xml:space="preserve">   4.1    I hereby certify that the project has been inspected by me and that the work has been executed satisfactorily and that work to the value claimed has been performed.</t>
  </si>
  <si>
    <t xml:space="preserve">        ………………………..                       </t>
  </si>
  <si>
    <t xml:space="preserve">             Date </t>
  </si>
  <si>
    <t>Name</t>
  </si>
  <si>
    <t>IA Director Technical Services</t>
  </si>
  <si>
    <t xml:space="preserve">    4.2    I certify that I have inspected this claim and I am satisfied that payment as indicated can be made.</t>
  </si>
  <si>
    <t xml:space="preserve">        ………………………....                       </t>
  </si>
  <si>
    <t>Chief Financial Officer</t>
  </si>
  <si>
    <t xml:space="preserve">    4.3    I hereby certify that the requested payment satisfies all conditions of IA and Grant and approve for payment as indicated.</t>
  </si>
  <si>
    <t xml:space="preserve">        ………………...……..                       </t>
  </si>
  <si>
    <t xml:space="preserve">        Date </t>
  </si>
  <si>
    <t>Municipal Manager</t>
  </si>
  <si>
    <t>Is this a cert. of completion?</t>
  </si>
  <si>
    <t>N/A</t>
  </si>
  <si>
    <t>APPROVED MIG VALUE</t>
  </si>
  <si>
    <t>PROJECT BALANCE</t>
  </si>
  <si>
    <t>Maximum Management fees</t>
  </si>
  <si>
    <t>Total Construction Cost</t>
  </si>
  <si>
    <t>PARTICULARS OF MANAGEMENT FEE CLAIM</t>
  </si>
  <si>
    <t>Yes or No</t>
  </si>
  <si>
    <t>KPI's</t>
  </si>
  <si>
    <t>Is an EIA necessary?</t>
  </si>
  <si>
    <t>NO</t>
  </si>
  <si>
    <t>Max. Management fee @ 14% [VAT incl.] =</t>
  </si>
  <si>
    <t>Is the EIA approved?</t>
  </si>
  <si>
    <t>Management fee not claimed yet</t>
  </si>
  <si>
    <t>Was the design report submitted?</t>
  </si>
  <si>
    <t>YES</t>
  </si>
  <si>
    <t>Was the design report approved?</t>
  </si>
  <si>
    <t>Total Management fee claimed</t>
  </si>
  <si>
    <t>Is a technical report necessary?</t>
  </si>
  <si>
    <t>Less: Management fee claimed previously:</t>
  </si>
  <si>
    <t>Is the technical report approved?</t>
  </si>
  <si>
    <t>MANAGEMENT FEE ON THIS CLAIM:</t>
  </si>
  <si>
    <t>PARTICULARS OF PAYMENT TO CONSTRUCTION COMPANY</t>
  </si>
  <si>
    <t>AMOUNT CERTIFIED</t>
  </si>
  <si>
    <t>Total value for work done to date</t>
  </si>
  <si>
    <t>Less: Total Penalties recovered to date</t>
  </si>
  <si>
    <t>Plus invoice values for materials on site (80%)</t>
  </si>
  <si>
    <t>TOTAL VALUE OF WORK DONE TO DATE</t>
  </si>
  <si>
    <t>LESS: TOTAL VALUE PREVIOUSLY CERTIFIED AND PAID</t>
  </si>
  <si>
    <t>TOTAL VALUE FOR CONSTRUCTION</t>
  </si>
  <si>
    <t>(B)</t>
  </si>
  <si>
    <t>LESS: RETENTION</t>
  </si>
  <si>
    <t>TOTAL VALUE DUE FOR CONSTRUCTION</t>
  </si>
  <si>
    <t>TOTAL VALUE FOR THIS CERTIFICATE (MAN &amp; CONSTR)</t>
  </si>
  <si>
    <t>(A + B)</t>
  </si>
  <si>
    <t>[VAT incl.]</t>
  </si>
  <si>
    <t>MANAGEMENT FEE</t>
  </si>
  <si>
    <t>PREVIOUS RETENTION HELD</t>
  </si>
  <si>
    <t>PAYMENT TO CONTRACTOR</t>
  </si>
  <si>
    <t>RETENTION ON THIS CERTIFICATE</t>
  </si>
  <si>
    <t>ALL CESSION PAYMENTS</t>
  </si>
  <si>
    <t>TOTAL IN RETENTION ACCOUNT</t>
  </si>
  <si>
    <t>RETENTION &amp; SURETY (%)</t>
  </si>
  <si>
    <t>TOTAL  VALUE FOR THIS CERTIFICATE</t>
  </si>
  <si>
    <r>
      <t xml:space="preserve">Summary of </t>
    </r>
    <r>
      <rPr>
        <b/>
        <sz val="14"/>
        <rFont val="Times New Roman"/>
        <family val="1"/>
      </rPr>
      <t>ACTUAL PAYMENTS</t>
    </r>
    <r>
      <rPr>
        <sz val="14"/>
        <rFont val="Times New Roman"/>
        <family val="1"/>
      </rPr>
      <t xml:space="preserve"> made [VAT incl.]</t>
    </r>
  </si>
  <si>
    <t>Payment no</t>
  </si>
  <si>
    <t>Name of Service Provider</t>
  </si>
  <si>
    <t>Payment to Consultant</t>
  </si>
  <si>
    <t>Cession payments</t>
  </si>
  <si>
    <t>TOTAL AMOUNT CERTIFIED</t>
  </si>
  <si>
    <t>Eternity Star Investment 231cc</t>
  </si>
  <si>
    <t>PO Box 3536</t>
  </si>
  <si>
    <t>POLOKWANE</t>
  </si>
  <si>
    <t>0700</t>
  </si>
  <si>
    <t>015 297 0038</t>
  </si>
  <si>
    <t>015 297 0181</t>
  </si>
  <si>
    <t>G/G/M/015/017/2017</t>
  </si>
  <si>
    <t xml:space="preserve">LESS   ……………….retention </t>
  </si>
  <si>
    <t>MIG 8</t>
  </si>
  <si>
    <t>Source of Funds</t>
  </si>
  <si>
    <t> MIG</t>
  </si>
  <si>
    <t>Total</t>
  </si>
  <si>
    <t>Direct Costs</t>
  </si>
  <si>
    <t>Indirect Costs</t>
  </si>
  <si>
    <t>Training</t>
  </si>
  <si>
    <t>(Incl. VAT)</t>
  </si>
  <si>
    <t>Accredited</t>
  </si>
  <si>
    <t>Non- Accredited</t>
  </si>
  <si>
    <t>Period</t>
  </si>
  <si>
    <t>Public</t>
  </si>
  <si>
    <t>Private</t>
  </si>
  <si>
    <t>Revised</t>
  </si>
  <si>
    <t>Cumulative</t>
  </si>
  <si>
    <t>Approved Budget</t>
  </si>
  <si>
    <t>Sector</t>
  </si>
  <si>
    <t>Total-MIG</t>
  </si>
  <si>
    <t>Payment Requested</t>
  </si>
  <si>
    <t>Expenditure (All Sources of Funds</t>
  </si>
  <si>
    <t>This Claim amount</t>
  </si>
  <si>
    <t>Total to previous report</t>
  </si>
  <si>
    <t>Total to Date</t>
  </si>
  <si>
    <t>Masilo J. Bopape</t>
  </si>
  <si>
    <t>Project Engineer</t>
  </si>
  <si>
    <t>VAT 15 %</t>
  </si>
  <si>
    <t>VAT  15 %</t>
  </si>
  <si>
    <t>VAT @ 15%</t>
  </si>
  <si>
    <t>VAT @ 15 %</t>
  </si>
  <si>
    <t>23/05/2018</t>
  </si>
  <si>
    <t>Provisional Sum Reduced as recomandation</t>
  </si>
  <si>
    <t>VARIATION ORDERS</t>
  </si>
  <si>
    <t>The Removal Protected Trees Permit On The Of The Proposed
Development A Waste Disposal Site</t>
  </si>
  <si>
    <t>Application for the removal of the protected trees
 Field inspection &amp; tree identification
 Application for the removal of protected
trees (As per National Forests act 84 of
1998)</t>
  </si>
  <si>
    <t>Lump Sum</t>
  </si>
  <si>
    <t>SECTION 13 : VARIATION ORDERS</t>
  </si>
  <si>
    <t>SUMS STATED PROVISIONALLY BY ENGINEER</t>
  </si>
  <si>
    <t>8.5</t>
  </si>
  <si>
    <t>PSA 8.5.b</t>
  </si>
  <si>
    <t>Removal of Stormwater in the landfill Cell</t>
  </si>
  <si>
    <t xml:space="preserve">SECTION 2 : LANDFILL  CELL No.1 </t>
  </si>
  <si>
    <t>1)  Provision of accomodation for the Resident Engineer for the duration of the phase</t>
  </si>
  <si>
    <t>Prov. Sum</t>
  </si>
  <si>
    <t>3)  Handling cost and profit in respect of sub-item 1,2,2,2(b)(1)</t>
  </si>
  <si>
    <r>
      <t xml:space="preserve">            0.3m</t>
    </r>
    <r>
      <rPr>
        <vertAlign val="superscript"/>
        <sz val="11"/>
        <rFont val="Arial"/>
        <family val="2"/>
      </rPr>
      <t>3</t>
    </r>
  </si>
  <si>
    <t>Borrow Pit and Land Use</t>
  </si>
  <si>
    <t xml:space="preserve">a)  Wages for Labour from Previous Contract </t>
  </si>
  <si>
    <t>VALUE ADDED TAX (15%)</t>
  </si>
  <si>
    <t>m²</t>
  </si>
  <si>
    <t>a) Training by an Accredited Service Provider</t>
  </si>
  <si>
    <t>Other Time Related Obligations (Including Monthly Site Survey)</t>
  </si>
  <si>
    <t>PAVEMENT LAYERS OF GRAVEL MATERIAL</t>
  </si>
  <si>
    <t>OVERHAUL</t>
  </si>
  <si>
    <t>LABOUR</t>
  </si>
  <si>
    <t>INTENSIVE</t>
  </si>
  <si>
    <t>Li</t>
  </si>
  <si>
    <t>Appointment of Quantity Surveyor</t>
  </si>
  <si>
    <t>1.1</t>
  </si>
  <si>
    <t>1.2</t>
  </si>
  <si>
    <t>1.2.2.2</t>
  </si>
  <si>
    <t>1.2.2.3</t>
  </si>
  <si>
    <t>1.3</t>
  </si>
  <si>
    <t>1.4</t>
  </si>
  <si>
    <t>1.5</t>
  </si>
  <si>
    <t>1.6</t>
  </si>
  <si>
    <t>1.4.1</t>
  </si>
  <si>
    <t>1.7.1</t>
  </si>
  <si>
    <t>1.7.2</t>
  </si>
  <si>
    <t>1.3.3</t>
  </si>
  <si>
    <t>1.3.4</t>
  </si>
  <si>
    <t>1.3.5</t>
  </si>
  <si>
    <t>1.3.6</t>
  </si>
  <si>
    <t>1.3.7</t>
  </si>
  <si>
    <t>1.3.8</t>
  </si>
  <si>
    <t>1.3.9</t>
  </si>
  <si>
    <t>1.4.6</t>
  </si>
  <si>
    <t>1.5.1.1</t>
  </si>
  <si>
    <t>1.7</t>
  </si>
  <si>
    <t>8.3</t>
  </si>
  <si>
    <t>8.4</t>
  </si>
  <si>
    <t>8.7</t>
  </si>
  <si>
    <t>2.1</t>
  </si>
  <si>
    <t>2.1.1</t>
  </si>
  <si>
    <t>2.1.2</t>
  </si>
  <si>
    <t>2.2</t>
  </si>
  <si>
    <t>2.2.1</t>
  </si>
  <si>
    <t>2.2.2</t>
  </si>
  <si>
    <t>2.2.3</t>
  </si>
  <si>
    <t>2.3.1</t>
  </si>
  <si>
    <t>2.3.2</t>
  </si>
  <si>
    <t>2.3.3</t>
  </si>
  <si>
    <t>2.3.4</t>
  </si>
  <si>
    <t>2.3.5</t>
  </si>
  <si>
    <t>2.3.6</t>
  </si>
  <si>
    <t>2.4.1</t>
  </si>
  <si>
    <t>2.4.2</t>
  </si>
  <si>
    <t>2.5.1</t>
  </si>
  <si>
    <t>2.5.2</t>
  </si>
  <si>
    <t>2.6.1</t>
  </si>
  <si>
    <t>2.6.2</t>
  </si>
  <si>
    <t>2.6.3</t>
  </si>
  <si>
    <t>2.6.4</t>
  </si>
  <si>
    <t>2.6.5</t>
  </si>
  <si>
    <t>3.1.2</t>
  </si>
  <si>
    <t>3.1.1</t>
  </si>
  <si>
    <t>3.2.1</t>
  </si>
  <si>
    <t>3.3.1</t>
  </si>
  <si>
    <t>3.3.2</t>
  </si>
  <si>
    <t>3.3.3</t>
  </si>
  <si>
    <t>3.3.4</t>
  </si>
  <si>
    <t>4.1</t>
  </si>
  <si>
    <t>4.1.1</t>
  </si>
  <si>
    <t>4.2</t>
  </si>
  <si>
    <t>4.2.1</t>
  </si>
  <si>
    <t>4.2.2</t>
  </si>
  <si>
    <t>4.3</t>
  </si>
  <si>
    <t>4.3.1</t>
  </si>
  <si>
    <t>4.4</t>
  </si>
  <si>
    <t>4.4.1</t>
  </si>
  <si>
    <t>4.4.2</t>
  </si>
  <si>
    <t>4.4.3</t>
  </si>
  <si>
    <t>4.4.3.1</t>
  </si>
  <si>
    <t>1.8</t>
  </si>
  <si>
    <t>1.8.1</t>
  </si>
  <si>
    <t>1.8.2</t>
  </si>
  <si>
    <t>1.8.3</t>
  </si>
  <si>
    <t>1.8.4</t>
  </si>
  <si>
    <t>1.8.5</t>
  </si>
  <si>
    <t>1.8.6</t>
  </si>
  <si>
    <t>1.8.7</t>
  </si>
  <si>
    <t>1.8.8</t>
  </si>
  <si>
    <t>1.8.9</t>
  </si>
  <si>
    <t>1.8.10</t>
  </si>
  <si>
    <t>1.8.11</t>
  </si>
  <si>
    <t>1.8.12</t>
  </si>
  <si>
    <t>1.8.13</t>
  </si>
  <si>
    <t>1.8.14</t>
  </si>
  <si>
    <t>1.8.15</t>
  </si>
  <si>
    <t>1.8.16</t>
  </si>
  <si>
    <t>1.8.17</t>
  </si>
  <si>
    <t>1.8.18</t>
  </si>
  <si>
    <t>1.8.19</t>
  </si>
  <si>
    <t>GREATER LETABA MUNICIPALITY</t>
  </si>
  <si>
    <r>
      <t>m</t>
    </r>
    <r>
      <rPr>
        <vertAlign val="superscript"/>
        <sz val="11"/>
        <rFont val="Arial"/>
        <family val="2"/>
      </rPr>
      <t>4</t>
    </r>
    <r>
      <rPr>
        <sz val="11"/>
        <color theme="1"/>
        <rFont val="Calibri"/>
        <family val="2"/>
        <scheme val="minor"/>
      </rPr>
      <t/>
    </r>
  </si>
  <si>
    <t>Supervision for duration of construction-Engineer</t>
  </si>
  <si>
    <t>OTHER FIXED CHARGE OBLIGATIONS-setting out</t>
  </si>
  <si>
    <t>security, deviations and dealing with traffic.</t>
  </si>
  <si>
    <t>PSA.8.3.5</t>
  </si>
  <si>
    <t>As-built survey</t>
  </si>
  <si>
    <t>PS-10.3</t>
  </si>
  <si>
    <t>Contractor’s obligations in respect of the Occupational Health and Safety Act and any other Health &amp; Safety regulations as may be applicable i.e. Covid-19 compliance.</t>
  </si>
  <si>
    <t xml:space="preserve">      items above </t>
  </si>
  <si>
    <t>(b) Handling costs and profit in respect of sub-item above</t>
  </si>
  <si>
    <t>Mentoring of CPG Contractor</t>
  </si>
  <si>
    <t>Provision of a CQA Plan as required by the regulatory authority condition of approval</t>
  </si>
  <si>
    <t>Supply and Install weighbridge</t>
  </si>
  <si>
    <t>Contractor's overheads, charges and profit on item above</t>
  </si>
  <si>
    <t>Installation of back-up Electricity (Generator/Solar Panels)</t>
  </si>
  <si>
    <t>PSA 8.5(b) 1)</t>
  </si>
  <si>
    <t>LANDFILL  CELLS</t>
  </si>
  <si>
    <t>PSA.8.5(b) 1)</t>
  </si>
  <si>
    <t>Pump from Leachate Pond  to Leachate Treatment Plant</t>
  </si>
  <si>
    <t xml:space="preserve">Construct concrete lining of trapezoidal drains in-situ and in segments not exceeding 2.5 m length; 100mm thick </t>
  </si>
  <si>
    <t>PSC  8.2.1</t>
  </si>
  <si>
    <t>(a) 1,0 m to 2,0 m</t>
  </si>
  <si>
    <t>Buik Excavation</t>
  </si>
  <si>
    <t>PSD 8.3.2</t>
  </si>
  <si>
    <t>b) Extra-over for</t>
  </si>
  <si>
    <t>1) Intermediate excavation</t>
  </si>
  <si>
    <t>2) Hard rock material</t>
  </si>
  <si>
    <t>PSDE 8.3.5</t>
  </si>
  <si>
    <t>.1  93% of MDD</t>
  </si>
  <si>
    <t>.2  95% of MDD</t>
  </si>
  <si>
    <t>PSDE 8.3.4</t>
  </si>
  <si>
    <t xml:space="preserve">Preparation exposed surfaces </t>
  </si>
  <si>
    <t>EARTHWORKS  ( EXCAVATION, TO STOCKPILE  OR SPOIL)</t>
  </si>
  <si>
    <t>Treatment of Excavation Floors</t>
  </si>
  <si>
    <t>Cellbed</t>
  </si>
  <si>
    <t>(a) Rip and compaction of materials to 93% of MDD</t>
  </si>
  <si>
    <t>SANS 1200 DB</t>
  </si>
  <si>
    <t>SANS 1200 C</t>
  </si>
  <si>
    <t>SANS 1200 D</t>
  </si>
  <si>
    <t>SANS 1200 DM</t>
  </si>
  <si>
    <t>SANS 1200 DE</t>
  </si>
  <si>
    <t xml:space="preserve">EARTHWORKS ( PIPE TRENCHES) </t>
  </si>
  <si>
    <t xml:space="preserve">Excavation </t>
  </si>
  <si>
    <t>LI</t>
  </si>
  <si>
    <t>a) Excavate in landfill cell(s), to stockpile  as ordered including oversize material</t>
  </si>
  <si>
    <t>HDPE Pipes</t>
  </si>
  <si>
    <t xml:space="preserve">No. </t>
  </si>
  <si>
    <t>Leachate Sump</t>
  </si>
  <si>
    <t>L1</t>
  </si>
  <si>
    <t>Leachate Monitoring Manhole</t>
  </si>
  <si>
    <t>Cell base</t>
  </si>
  <si>
    <t>LANDFILL LINER ( SUPPLY AND INSTALL)</t>
  </si>
  <si>
    <t>Geosynthetics - Supply  to the site and store safely in accordance with the project and manufacturer's specifications. Install according to the drawings and manuals to floor and  slope area measured net, excluding all wastage, and overlaps but including anchorage length and overlap with existing liner.</t>
  </si>
  <si>
    <t>t/m</t>
  </si>
  <si>
    <r>
      <t>m</t>
    </r>
    <r>
      <rPr>
        <vertAlign val="superscript"/>
        <sz val="11"/>
        <rFont val="Arial"/>
        <family val="2"/>
      </rPr>
      <t>3</t>
    </r>
    <r>
      <rPr>
        <sz val="11"/>
        <rFont val="Arial"/>
        <family val="2"/>
      </rPr>
      <t xml:space="preserve"> -km</t>
    </r>
  </si>
  <si>
    <t>(b) Import and place 19mm crushed rock aggregate as leachate collection layer 200mm thick.</t>
  </si>
  <si>
    <t>PSDM 8.3.12</t>
  </si>
  <si>
    <t>(e)  Backfill with soil cement ( 5% Cement Stabilised Soil with at least G7 material) at Perimeter Embankment and Separation Beam</t>
  </si>
  <si>
    <t>(a) Excavate  in all materials for trenches, backfill , compact and dispose of surplus material for leachate monitoring pipes</t>
  </si>
  <si>
    <t>(b) Restricted excavation for leachate sump</t>
  </si>
  <si>
    <t xml:space="preserve">(c)  Restricted excavation for liner penetration details </t>
  </si>
  <si>
    <t>(d) Restricted excavation for leachate sump</t>
  </si>
  <si>
    <t>(f) Restricted excavation into embankment for a riser pipe</t>
  </si>
  <si>
    <t>(g) Other restricted excavations as shown in the drawings or as  instructed by the Engineer</t>
  </si>
  <si>
    <t>(c) Prefabricated HDPE Top Hat as shown in drawings for the Liner penetration detail at Separation Berm.</t>
  </si>
  <si>
    <t>(d) 1.7mx1.7mx200mm Thick 25 MPa Concrete Slab with 311 reinforcement mesh</t>
  </si>
  <si>
    <r>
      <t>(e) Supply and install 110 HDPE 60</t>
    </r>
    <r>
      <rPr>
        <sz val="11"/>
        <rFont val="Aptos Narrow"/>
        <family val="2"/>
      </rPr>
      <t>°</t>
    </r>
    <r>
      <rPr>
        <sz val="11"/>
        <rFont val="Arial"/>
        <family val="2"/>
      </rPr>
      <t xml:space="preserve">- bend pipe connector. </t>
    </r>
  </si>
  <si>
    <t xml:space="preserve">(f) Supply and install 110 HDPE 150°- bend pipe connector. </t>
  </si>
  <si>
    <t>PSLD 8.2.7</t>
  </si>
  <si>
    <t>(b) Prefabricated HDPE Top Hat as shown in drawings for the Liner penetration detail at the sump</t>
  </si>
  <si>
    <t>(a) Encasing of Pipes</t>
  </si>
  <si>
    <t xml:space="preserve">(a) Preparation and shaping  of  the sump area  according to the drawings </t>
  </si>
  <si>
    <t xml:space="preserve">(c) 1.7mx1.7mx200mm Thick 25 MPa Concrete Slab with 311 reinforcement mesh at two positions as shown in the drawings, including smooth Finish. </t>
  </si>
  <si>
    <t>(a) Supply and install precast concrete 1.5m diameter manhole ring  as per detail drawing</t>
  </si>
  <si>
    <t>(b) Supply and install  cast iron removable cover complete with locking accessories</t>
  </si>
  <si>
    <t>SANS 1200DK</t>
  </si>
  <si>
    <t>PSDK 8.2.4</t>
  </si>
  <si>
    <t xml:space="preserve">(b) Supply and installation of Geosynthetic Clay Liner (GCL) Reinforced Sodium Bentonite GCL 4000g/m2 .  </t>
  </si>
  <si>
    <t xml:space="preserve">(c) Supply and installation of Geomembrane to GRI GM-13.  1.5mm thick HDPE double textured  to SANS 1526 as approved placed as per SANS 10409.  </t>
  </si>
  <si>
    <r>
      <t>(d) Supply and installation of a 1500g/m</t>
    </r>
    <r>
      <rPr>
        <vertAlign val="superscript"/>
        <sz val="11"/>
        <rFont val="Arial"/>
        <family val="2"/>
      </rPr>
      <t xml:space="preserve">2 </t>
    </r>
    <r>
      <rPr>
        <sz val="11"/>
        <rFont val="Arial"/>
        <family val="2"/>
      </rPr>
      <t>non-woven geotextile to GRI GT12 as filtration layer above the leachate collection layer.</t>
    </r>
  </si>
  <si>
    <t>8.2.5</t>
  </si>
  <si>
    <t>2.7.1</t>
  </si>
  <si>
    <t>2.7.2</t>
  </si>
  <si>
    <t>(a) Cell to required levels  with material obtained from cuts and stockpiles compacted to 93% of MDD</t>
  </si>
  <si>
    <t>2.3.7</t>
  </si>
  <si>
    <t>2.3.8</t>
  </si>
  <si>
    <t>2.3.9</t>
  </si>
  <si>
    <t>2.3.10</t>
  </si>
  <si>
    <t>2.3.11</t>
  </si>
  <si>
    <t>2.3.12</t>
  </si>
  <si>
    <t>2.3.13</t>
  </si>
  <si>
    <t>2.3.14</t>
  </si>
  <si>
    <t>2.4.3</t>
  </si>
  <si>
    <t>2.4.4</t>
  </si>
  <si>
    <t>2.4.5</t>
  </si>
  <si>
    <t>2.4.6</t>
  </si>
  <si>
    <t>2.4.7</t>
  </si>
  <si>
    <t>2.4.8</t>
  </si>
  <si>
    <t>2.4.9</t>
  </si>
  <si>
    <t>(a) Area covered by the embankment</t>
  </si>
  <si>
    <t>(e) Supply and install Separation Geotextile 200g/m2 to GRI GT12</t>
  </si>
  <si>
    <t>(f) Battening of all liners to concrete pipe penetration base</t>
  </si>
  <si>
    <t>(g) Final capping welded over penetration base</t>
  </si>
  <si>
    <t>SECTION 3 : LEACHATE POND</t>
  </si>
  <si>
    <t>(b) Fill Cell to required levels  with material obtained from borrow pits and  compacted to 93% of MDD</t>
  </si>
  <si>
    <t>(e) Restricted excavation into embankments to construct 600 mm wide * 600 mm deep anchor trench</t>
  </si>
  <si>
    <t>(e) Restricted excavation into embankments to construct 300 mm wide * 300 mm deep anchor trench</t>
  </si>
  <si>
    <t>(b) Prefabricated HDPE Top Hat as shown in drawings for the Liner penetration detail at Separation Berm.</t>
  </si>
  <si>
    <t>(c) 1.7mx1.7mx200mm Thick 25 MPa Concrete Slab with 311 reinforcement mesh</t>
  </si>
  <si>
    <r>
      <t>(d) Supply and install 110 HDPE 60</t>
    </r>
    <r>
      <rPr>
        <sz val="11"/>
        <rFont val="Aptos Narrow"/>
        <family val="2"/>
      </rPr>
      <t>°</t>
    </r>
    <r>
      <rPr>
        <sz val="11"/>
        <rFont val="Arial"/>
        <family val="2"/>
      </rPr>
      <t xml:space="preserve">- bend pipe connector. </t>
    </r>
  </si>
  <si>
    <t xml:space="preserve">(e) Supply and install 110 HDPE 150°- bend pipe connector. </t>
  </si>
  <si>
    <t>Drilling of boreholes for both monitoring,  testing and portable</t>
  </si>
  <si>
    <t>1.1.6</t>
  </si>
  <si>
    <t>1.1.7</t>
  </si>
  <si>
    <t>1.2.4.1</t>
  </si>
  <si>
    <t>1.2.4.2</t>
  </si>
  <si>
    <t>1.2.4.3</t>
  </si>
  <si>
    <t>1.2.4.4</t>
  </si>
  <si>
    <t>1.2.4.5</t>
  </si>
  <si>
    <t>1.2.4.6</t>
  </si>
  <si>
    <t>1.2.7</t>
  </si>
  <si>
    <t>1.5.6</t>
  </si>
  <si>
    <t>1.5.7</t>
  </si>
  <si>
    <t>1.5.8</t>
  </si>
  <si>
    <t>1.5.9</t>
  </si>
  <si>
    <t>1.5.10</t>
  </si>
  <si>
    <t>2.5.3</t>
  </si>
  <si>
    <t>2.5.4</t>
  </si>
  <si>
    <t>2.5.5</t>
  </si>
  <si>
    <t>2.5.6</t>
  </si>
  <si>
    <t>2.5.7</t>
  </si>
  <si>
    <t>2.6.6</t>
  </si>
  <si>
    <t>2.6.7</t>
  </si>
  <si>
    <t>2.6.8</t>
  </si>
  <si>
    <t>2.6.9</t>
  </si>
  <si>
    <t>2.6.10</t>
  </si>
  <si>
    <t>2.8.1</t>
  </si>
  <si>
    <t>2.8.2</t>
  </si>
  <si>
    <t>2.8.3</t>
  </si>
  <si>
    <t>2.8.4</t>
  </si>
  <si>
    <t>2.8.5</t>
  </si>
  <si>
    <t>2.8.6</t>
  </si>
  <si>
    <t>2.8.7</t>
  </si>
  <si>
    <t>2.8.8</t>
  </si>
  <si>
    <t>3.2.2</t>
  </si>
  <si>
    <t>3.2.3</t>
  </si>
  <si>
    <t>3.3.5</t>
  </si>
  <si>
    <t>3.3.6</t>
  </si>
  <si>
    <t>3.3.7</t>
  </si>
  <si>
    <t>3.3.8</t>
  </si>
  <si>
    <t>3.3.9</t>
  </si>
  <si>
    <t>3.3.10</t>
  </si>
  <si>
    <t>3.3.11</t>
  </si>
  <si>
    <t>3.3.12</t>
  </si>
  <si>
    <t>3.3.14</t>
  </si>
  <si>
    <t>3.4.1</t>
  </si>
  <si>
    <t>3.4.2</t>
  </si>
  <si>
    <t>3.4.3</t>
  </si>
  <si>
    <t>3.4.4</t>
  </si>
  <si>
    <t>3.4.5</t>
  </si>
  <si>
    <t>3.4.6</t>
  </si>
  <si>
    <t>3.4.7</t>
  </si>
  <si>
    <t>3.4.9</t>
  </si>
  <si>
    <t>3.5.1</t>
  </si>
  <si>
    <t>3.5.2</t>
  </si>
  <si>
    <t>3.6.1</t>
  </si>
  <si>
    <t>3.6.2</t>
  </si>
  <si>
    <t>3.6.3</t>
  </si>
  <si>
    <t>3.6.4</t>
  </si>
  <si>
    <t>3.6.5</t>
  </si>
  <si>
    <t>3.7.1</t>
  </si>
  <si>
    <t>3.7.2</t>
  </si>
  <si>
    <t>3.8.1</t>
  </si>
  <si>
    <t>3.8.2</t>
  </si>
  <si>
    <t>3.8.3</t>
  </si>
  <si>
    <t>3.8.4</t>
  </si>
  <si>
    <t>3.8.5</t>
  </si>
  <si>
    <t>Stone pitching, where instructed by Engineer</t>
  </si>
  <si>
    <t>3.5.3</t>
  </si>
  <si>
    <t>3.5.4</t>
  </si>
  <si>
    <t>(c) Fill Cell to required levels  with G7 material obtained from commercial sources and compacted to 93% of MDD</t>
  </si>
  <si>
    <t>(a) Obtain material  from site  place and compact Clay material (SC/CL) (150 mm thick) to min 95% MDD.</t>
  </si>
  <si>
    <t xml:space="preserve">(b) Obtain material  from borrow pits, place and compact Clay material (SC/CL) (150 mm thick) to min 95%  MDD. </t>
  </si>
  <si>
    <t xml:space="preserve">(c) Obtain material  from commercial sources place and compact Clay material (SC/CL equivalent to G7) (150 mm thick) to min 95%  MDD. </t>
  </si>
  <si>
    <t xml:space="preserve">(d) Import from commercial sources , place 100 mm thick layer of silty sand (G8/G9)  as protection layer beneath Sodium Bentonite GCL 4000g/m2. </t>
  </si>
  <si>
    <t xml:space="preserve">(e) Import from Borrowpit sources , place 100 mm thick layer of silty sand (G8/G9)  as protection layer beneath Sodium Bentonite GCL 4000g/m2. </t>
  </si>
  <si>
    <t xml:space="preserve">(f) Obtain  from site stockpile and place 100 mm thick layer of silty sand (G8/G9)  as protection layer beneath Sodium Bentonite GCL 4000g/m2. </t>
  </si>
  <si>
    <t>(g) Import and place 25-38 mm crushed rock aggregate as leachate collection layer 200mm thick.</t>
  </si>
  <si>
    <t xml:space="preserve">(h)  Import 100 mm sand protection layer, placed on separation geotextile </t>
  </si>
  <si>
    <t xml:space="preserve">Overhaul for all materials and works / spoil on site in excess of free haul distance of 0.5km excluding the haulage of commercial materials </t>
  </si>
  <si>
    <t>FORMING EMBANKMENTS</t>
  </si>
  <si>
    <t>(a) Haul from stockpiles place and compact   including final trimming and shaping (at G7 quality)</t>
  </si>
  <si>
    <t>(b) Import at least G7 from Borrowpits as directed by engineer material to be used for embankment, place and compact    including final trimming and shaping</t>
  </si>
  <si>
    <t>(c) Import from commercial sources ( G6/G5 material)  including haulage, material to be used for embankment, place and compact   including final trimming and shaping</t>
  </si>
  <si>
    <t xml:space="preserve">(d) Import from commercial sources, place and compact 100 mm sand protection layer, placed on separation geotextile </t>
  </si>
  <si>
    <t>(a) 110 mm diameter (Φ) perforated HDPE pipe for leachate collection and leachate detection layers</t>
  </si>
  <si>
    <t>(b) 160 mm diameter (Φ) unslotted HDPE pipe for leachate gravity line to the leachate dam</t>
  </si>
  <si>
    <t>(a) Supply and install Containment Geotextile , Continuous filament geotextile 270g/m2  (non-woven needle punched - NWNP)  for the Leachate monitoring pipe</t>
  </si>
  <si>
    <t>Cell bed</t>
  </si>
  <si>
    <t>(b) Import and place 19mm crushed rock aggregate as leachate collection layer 200 mm thick.</t>
  </si>
  <si>
    <t>(g) Construct 300 mm thick Geocells filled with 5% cement stabilised sand layer</t>
  </si>
  <si>
    <t>(a) 110 mm diameter (Φ) perforated HDPE pipe for leachate detection layers</t>
  </si>
  <si>
    <t>SANS</t>
  </si>
  <si>
    <t>SCHEDULE:</t>
  </si>
  <si>
    <t>1200 G</t>
  </si>
  <si>
    <t>CONCRETE (STRUCTURAL)</t>
  </si>
  <si>
    <t>8.1.1</t>
  </si>
  <si>
    <t>FOUNDATION FORM WORK</t>
  </si>
  <si>
    <t>(a)</t>
  </si>
  <si>
    <t xml:space="preserve">Foundation Formwork ( boxing earth / excavation) </t>
  </si>
  <si>
    <t>.1</t>
  </si>
  <si>
    <t>Boxing out for Strip Footings ( up to 1000mm wide</t>
  </si>
  <si>
    <t>and less than 1500mm deep</t>
  </si>
  <si>
    <t>.2</t>
  </si>
  <si>
    <t xml:space="preserve">Boxing out for  Pad Footings </t>
  </si>
  <si>
    <t>(more than 500mm and less than 2000mm wide)</t>
  </si>
  <si>
    <t>and 500mm to 1500 depth</t>
  </si>
  <si>
    <t xml:space="preserve">(b) </t>
  </si>
  <si>
    <t>Surfaced formwork</t>
  </si>
  <si>
    <t>.1 Vertical formwork for expansion joints as per the drawing</t>
  </si>
  <si>
    <t>8.1.2</t>
  </si>
  <si>
    <t>Y bars</t>
  </si>
  <si>
    <t>Strip footings</t>
  </si>
  <si>
    <t>(b)</t>
  </si>
  <si>
    <t xml:space="preserve">Pad footing </t>
  </si>
  <si>
    <t xml:space="preserve">(c) </t>
  </si>
  <si>
    <t>8.1.3</t>
  </si>
  <si>
    <t>Surface bed ( floated as per the drawings)</t>
  </si>
  <si>
    <t>JOINTS</t>
  </si>
  <si>
    <t xml:space="preserve">(a) Saw Cut </t>
  </si>
  <si>
    <t>(a) Expansion</t>
  </si>
  <si>
    <t>EXCAVATION AND BACKFILLING</t>
  </si>
  <si>
    <t>mod AASHTO density, and dispose of surplus and</t>
  </si>
  <si>
    <t>unsuitable materials within the freehaul distance for</t>
  </si>
  <si>
    <t>trenches</t>
  </si>
  <si>
    <t>Over 1m and up to 2m wide</t>
  </si>
  <si>
    <t>Up to 1m deep</t>
  </si>
  <si>
    <t>Over 1m and up to 2m deep</t>
  </si>
  <si>
    <t>Extra over items 8.3.2 (a) for</t>
  </si>
  <si>
    <t>Hard rock excavation</t>
  </si>
  <si>
    <t xml:space="preserve">SANS </t>
  </si>
  <si>
    <t>2001-CM1</t>
  </si>
  <si>
    <t>WATERPROOFING, FLOOR COVERINGS, PLASTIC LININGS, PLASTERING, TILING , GLAZING  AND PAINTWORK</t>
  </si>
  <si>
    <t>MASONRY</t>
  </si>
  <si>
    <t>Brickwork of NFX bricks (14 MPa nominal compressive strength) in class 1 mortar</t>
  </si>
  <si>
    <t>PSC 8.2</t>
  </si>
  <si>
    <t>Foundation Brickwork</t>
  </si>
  <si>
    <t>Single brickwork ( 110mm)</t>
  </si>
  <si>
    <t>Single brickwork ( 220mm)</t>
  </si>
  <si>
    <t>(c)</t>
  </si>
  <si>
    <t>(d)</t>
  </si>
  <si>
    <t>Brick wall from surface bed level up to 3,2m</t>
  </si>
  <si>
    <t>Brick wall above  3,2m</t>
  </si>
  <si>
    <t>Brickwork Sundries</t>
  </si>
  <si>
    <t>(f)</t>
  </si>
  <si>
    <t>90 x 75mm Pre-stressed fabricated lintels in lengths not exceeding 3m</t>
  </si>
  <si>
    <t>6mm Diameter roof tie 2m girth bent double with one end fixed to timber and other built into brickwork</t>
  </si>
  <si>
    <t>DAMPPROOFING OF WALLS AND FLOORS</t>
  </si>
  <si>
    <t>One layer of 375 micron "Brikgrip DPC" or similar approved embossed damp proof course well lapped at joints and intersections bedded and joined in cement mortar</t>
  </si>
  <si>
    <t>In walls</t>
  </si>
  <si>
    <t>In walls in vertical cavities at doors and windows</t>
  </si>
  <si>
    <t>( c)</t>
  </si>
  <si>
    <t>In walls in horizontal cavities at doors and windows</t>
  </si>
  <si>
    <t>One layer of 250 micron "Consol Plastics Gunplas USB Green" or similar approved waterproof sheeting sealed at laps with "Gunplas Pressure Sensitive Tape"</t>
  </si>
  <si>
    <t>Under surface beds, slabs and paving</t>
  </si>
  <si>
    <t>JOINT SEALANTS, ETC</t>
  </si>
  <si>
    <t>Approved silicone pointing</t>
  </si>
  <si>
    <t>Between  door &amp; window frame and wall</t>
  </si>
  <si>
    <t>On wall expansion joints as specified by the engineer</t>
  </si>
  <si>
    <t>PLASTERING</t>
  </si>
  <si>
    <t>Screeds to steel trowelled, on concrete: 30mm thick on floors</t>
  </si>
  <si>
    <t>External 20mm Cement plaster on brickwork or blockwork as directed by the Engineer</t>
  </si>
  <si>
    <t>(c )</t>
  </si>
  <si>
    <t xml:space="preserve">Internal plaster from walls and columns ad directe by the Engineer. </t>
  </si>
  <si>
    <t>PAINTWORK</t>
  </si>
  <si>
    <t>On Wood</t>
  </si>
  <si>
    <t>Undercoat and minimum 2 coat gloss enamel</t>
  </si>
  <si>
    <t>On doors (Internal)</t>
  </si>
  <si>
    <t>On doors (External)</t>
  </si>
  <si>
    <t>On Fibre Cement</t>
  </si>
  <si>
    <t>Prepare and brush to remove all loose contaminations, apply one
coat primer and two coats PVA emulsion paint</t>
  </si>
  <si>
    <t>On Metal</t>
  </si>
  <si>
    <t>On door frames</t>
  </si>
  <si>
    <t>On gutters and down pipes</t>
  </si>
  <si>
    <t>On windows</t>
  </si>
  <si>
    <t>On door and window budglar proofing</t>
  </si>
  <si>
    <t>TILING</t>
  </si>
  <si>
    <t>GLAZING TO STEEL WITH PUTTY</t>
  </si>
  <si>
    <t>Glazing to steel with putty</t>
  </si>
  <si>
    <t>0120-2 H</t>
  </si>
  <si>
    <t>PS 8.2</t>
  </si>
  <si>
    <t>Procure, fabricate, supply and and assemble as per the drawings</t>
  </si>
  <si>
    <t>Shop Drawings</t>
  </si>
  <si>
    <t xml:space="preserve">Provision for supplying a set of shop drawings for all </t>
  </si>
  <si>
    <t>structural steelwork</t>
  </si>
  <si>
    <t xml:space="preserve">Profiled Metal Sheeting </t>
  </si>
  <si>
    <t>0.8mm thick IBR (Z275) Steel roof sheeting by Clotan Steel or similar</t>
  </si>
  <si>
    <t xml:space="preserve">approved  with Chromadek finish to top and protective primer coating </t>
  </si>
  <si>
    <t xml:space="preserve">to underside, in single lengths fixed to steel purlins and rails. </t>
  </si>
  <si>
    <t xml:space="preserve">Roof covering with picth not exceeding 25 degrees. </t>
  </si>
  <si>
    <t>0.8mm side flashing</t>
  </si>
  <si>
    <t>Paint Work</t>
  </si>
  <si>
    <t xml:space="preserve">(a)  </t>
  </si>
  <si>
    <t xml:space="preserve">Coat of  inorganic zinc ethyl silicate primer as per manufacturers specification. </t>
  </si>
  <si>
    <t>Additional topcoats  as per engineer's instruction</t>
  </si>
  <si>
    <t>Steel Door Frames</t>
  </si>
  <si>
    <t>1,6mm Double rebated frames suitable for one brickwalls: Frame for door 813 x 2032mm high including burglar bars.</t>
  </si>
  <si>
    <t>Steel Windows</t>
  </si>
  <si>
    <t>2001-CT2</t>
  </si>
  <si>
    <t xml:space="preserve">STRUCTURAL TIMBER, </t>
  </si>
  <si>
    <t>CARPENTRY,  JOINERY AND ROOF COVERINGS</t>
  </si>
  <si>
    <t>ROOFS</t>
  </si>
  <si>
    <t>For supply and complete installation of roof trusses including all necessary bracing, gangboarding, purlins, splayed eaves purlins, wall plates, hurricane clips, wire tie etc.</t>
  </si>
  <si>
    <t>(b) Guard house</t>
  </si>
  <si>
    <t>Roof Coverings</t>
  </si>
  <si>
    <t>12" Thermal resistance sisalition laid on purlins</t>
  </si>
  <si>
    <t>Rainwater Disposal</t>
  </si>
  <si>
    <t>100 x 100 x 0.6mm Standard rainwater seamless metal gutters fixed with gutters brackets including closed ends.</t>
  </si>
  <si>
    <t>75 x 100 x 0.6mm Thick galvanised rainwater downpipes fixed to wall.</t>
  </si>
  <si>
    <t>.3</t>
  </si>
  <si>
    <t xml:space="preserve">Extra over rainwater pipe for eaves offset and bends complete. </t>
  </si>
  <si>
    <t>EAVES, VERGES, ETC.</t>
  </si>
  <si>
    <t xml:space="preserve">(a) </t>
  </si>
  <si>
    <t>DOORS, ETC.</t>
  </si>
  <si>
    <t>Wrought meranti doors hung to steel frames</t>
  </si>
  <si>
    <t>44mm Framed batten door 813 x 2032mm high of 44 x 150mm top  rail and stiles, 22 x 150mm middle ledge and braces and 22 x 220mm bottom rail filled in with 22mm V-jointed one side boarding and including weatherboard (D1)</t>
  </si>
  <si>
    <t>SKIRTINGS</t>
  </si>
  <si>
    <t xml:space="preserve">Meranti timber skirting nailed to walls </t>
  </si>
  <si>
    <t>(a) Control Room</t>
  </si>
  <si>
    <r>
      <t>m</t>
    </r>
    <r>
      <rPr>
        <sz val="11"/>
        <rFont val="Calibri"/>
        <family val="2"/>
      </rPr>
      <t>³</t>
    </r>
  </si>
  <si>
    <r>
      <t>6,38mm Thick clear laminated normal strength glass up to 3.0m</t>
    </r>
    <r>
      <rPr>
        <sz val="11"/>
        <rFont val="Calibri"/>
        <family val="2"/>
      </rPr>
      <t>²</t>
    </r>
  </si>
  <si>
    <t>SECTION 5 : CONCRETE STRUCTURAL</t>
  </si>
  <si>
    <t>MASONRY WORK,</t>
  </si>
  <si>
    <t>SECTION 6 : MASONRY WORK, WATERPROOFING, FLOOR COVERINGS, PLASTIC LININGS, PLASTERING, TILING , GLAZING  AND PAINTWORK</t>
  </si>
  <si>
    <t>SECTION 7 : STRUCTURAL STEEL, AND METALWORK</t>
  </si>
  <si>
    <t>SECTION 8: STRUCTURAL TIMBER, CARPENTRY,  JOINERY AND ROOF COVERINGS</t>
  </si>
  <si>
    <t>CARRIED FORWARD TO SUMMARY OF SCHEDULES</t>
  </si>
  <si>
    <t xml:space="preserve">CONCRETE </t>
  </si>
  <si>
    <t xml:space="preserve">Class 30/19 </t>
  </si>
  <si>
    <t>Ramp</t>
  </si>
  <si>
    <t>Class 25/38</t>
  </si>
  <si>
    <t>Class 20/38</t>
  </si>
  <si>
    <t xml:space="preserve">delete this one. </t>
  </si>
  <si>
    <t>(a) 203x133x25 I  Colums</t>
  </si>
  <si>
    <t>(b) 203x133x25 I  Beams</t>
  </si>
  <si>
    <t>(c) IPE180 (180mm x 91mm) Rafter</t>
  </si>
  <si>
    <t>(d) IPE140 (140mm x 73mm) horizontal bracings</t>
  </si>
  <si>
    <t>Supply of steel connections as per the shop drawings (bolts, nuts, welding, etc )</t>
  </si>
  <si>
    <t xml:space="preserve">Per Architect's specification, and strength as per Engineer's specification ( Materials Recovery Building , </t>
  </si>
  <si>
    <t>Additional requirements as per Engineer's Instructions</t>
  </si>
  <si>
    <t>Double brickwork ( 220mm)</t>
  </si>
  <si>
    <t>Galvanized hoop iron cramps, ties, etc (40 x 1.6mm wall tie strip shot pinned to steel  and with tie bent out and built into brickwork)</t>
  </si>
  <si>
    <t xml:space="preserve">(d) </t>
  </si>
  <si>
    <t>Excavate in all materials, backfill and compact to 93%</t>
  </si>
  <si>
    <t>Monitoring floor slab</t>
  </si>
  <si>
    <t>(a) Inside  bathroom and toilet</t>
  </si>
  <si>
    <t>Pressed fibre-cement - 15 x 230mm Fascias and barge boards including galvanised steel H-profile
jointing strips</t>
  </si>
  <si>
    <t xml:space="preserve">(b) Toilet and bathroom installation and accessories including plumbing </t>
  </si>
  <si>
    <t>Dry wall ceiling attached to the roof timber rafter</t>
  </si>
  <si>
    <t>Services (water, storm water, sewer, septic tank and electricity and general plumbing ) and eskom relocation ,palisade removal, and  including equiped pump house</t>
  </si>
  <si>
    <t>Per Architect's specification, and strength as per Engineer's specification ( Materials Recovery Building , Guard House, Control Room and Washbay)</t>
  </si>
  <si>
    <t>CONCRETE STRUCTURAL</t>
  </si>
  <si>
    <t xml:space="preserve"> MASONRY WORK, WATERPROOFING, FLOOR COVERINGS, PLASTIC LININGS, PLASTERING, TILING , GLAZING  AND PAINTWORK</t>
  </si>
  <si>
    <t>SECTION 6 :</t>
  </si>
  <si>
    <t xml:space="preserve">SECTION 7 : </t>
  </si>
  <si>
    <t>STRUCTURAL STEEL, AND METALWORK</t>
  </si>
  <si>
    <t xml:space="preserve">SECTION 8 : </t>
  </si>
  <si>
    <t>STRUCTURAL TIMBER, CARPENTRY,  JOINERY AND ROOF COVERINGS</t>
  </si>
  <si>
    <t>SECTION 9:</t>
  </si>
  <si>
    <t>Foundation bases / pad Footings ( as shown in the drawings)</t>
  </si>
  <si>
    <t>395 Mesh for surface bed</t>
  </si>
  <si>
    <t>(e ) UC 254x73</t>
  </si>
  <si>
    <t>(f) UB 356x45</t>
  </si>
  <si>
    <t>0.8mm  roof sheeting in chromadek finish fixed to timber purlins</t>
  </si>
  <si>
    <t>R bars</t>
  </si>
  <si>
    <t>(e ) As instructed by the engineer</t>
  </si>
  <si>
    <t xml:space="preserve">Strip footing </t>
  </si>
  <si>
    <t xml:space="preserve"> Monitoring floor slab</t>
  </si>
  <si>
    <t>(b )</t>
  </si>
  <si>
    <t>(e)</t>
  </si>
  <si>
    <t>STRUCTURAL STEEL, AND  METALWORK</t>
  </si>
  <si>
    <t>CEILINGS</t>
  </si>
  <si>
    <t>Window type TS01 1511x 949mm high including burglar bars</t>
  </si>
  <si>
    <t>Window type TS02 7,1000 x 949mm high including burglar bars</t>
  </si>
  <si>
    <t>Window type TS03 7,533 x 949mm high including burglar bars</t>
  </si>
  <si>
    <t>5.10</t>
  </si>
  <si>
    <t>.1   Backfilling with imported G7 material</t>
  </si>
  <si>
    <t>6.10</t>
  </si>
  <si>
    <t>6.20</t>
  </si>
  <si>
    <t>6.30</t>
  </si>
  <si>
    <t>8.10</t>
  </si>
  <si>
    <t>(g) UB 203x25</t>
  </si>
  <si>
    <t>(h) 150x50x20x2.5 Cold formed Purlins</t>
  </si>
  <si>
    <t>(i) Sag angles, bracing angles, knee stay base plates, stiffeners  etc..</t>
  </si>
  <si>
    <t>(j) Stair case according to the shop drawing ( as per engineer's detail)</t>
  </si>
  <si>
    <t>(l)</t>
  </si>
  <si>
    <t>7.10</t>
  </si>
  <si>
    <t>7.11</t>
  </si>
  <si>
    <t>7.12</t>
  </si>
  <si>
    <t>7.13</t>
  </si>
  <si>
    <t>7.14</t>
  </si>
  <si>
    <t>7.15</t>
  </si>
  <si>
    <t>7.16</t>
  </si>
  <si>
    <t>7.17</t>
  </si>
  <si>
    <t>7.18</t>
  </si>
  <si>
    <t>7.20</t>
  </si>
  <si>
    <t>Materials Recovery Building , Guard House, Control Room and Washbay</t>
  </si>
  <si>
    <t xml:space="preserve"> Guard House and Control Room </t>
  </si>
  <si>
    <t>Concrete  lined drains</t>
  </si>
  <si>
    <t>Irrigation system for contaminated  stormwater and Sub surface drainge with perforated pipes as instructed by Engineer</t>
  </si>
  <si>
    <t>PSA.8.5(b) 2)</t>
  </si>
  <si>
    <t>4.3.2</t>
  </si>
  <si>
    <t>CONTRACT PRICE ADJUSTMENT (2.5% OF SUB TOTAL)</t>
  </si>
  <si>
    <t>Employment of Project Steering Committee &amp; Royalties</t>
  </si>
  <si>
    <t>a)  Acceptance control testing by the Engineer</t>
  </si>
  <si>
    <t>(k) Guardhouse gate according to the drawings</t>
  </si>
  <si>
    <t>b)  Contractor's overheads, charges and profit of item above</t>
  </si>
  <si>
    <t>SCHEDULE B: ROADWORKS</t>
  </si>
  <si>
    <t>SECTION 1500</t>
  </si>
  <si>
    <t>ACCOMMODATION OF TRAFFIC</t>
  </si>
  <si>
    <t>Accommodating traffic</t>
  </si>
  <si>
    <t xml:space="preserve">Acccomodating traffic and maintaining </t>
  </si>
  <si>
    <t>temporary deviations</t>
  </si>
  <si>
    <t>km</t>
  </si>
  <si>
    <t>Earthworks for temporary deviations:</t>
  </si>
  <si>
    <t>(a) Shaping of temporary deviations</t>
  </si>
  <si>
    <t>(b) Cut and borrow to fill</t>
  </si>
  <si>
    <r>
      <t>m</t>
    </r>
    <r>
      <rPr>
        <vertAlign val="superscript"/>
        <sz val="9"/>
        <rFont val="Arial"/>
        <family val="2"/>
      </rPr>
      <t>3</t>
    </r>
  </si>
  <si>
    <t>( c) Cut to spoil</t>
  </si>
  <si>
    <t>B15.03</t>
  </si>
  <si>
    <t>Temporary traffic-control facilities</t>
  </si>
  <si>
    <t>(a) Flagmen</t>
  </si>
  <si>
    <t>man-day</t>
  </si>
  <si>
    <t>(b) Portable STOP and GO-RY signs</t>
  </si>
  <si>
    <t>( e) Road signs R- and TR-series, (size indicated)</t>
  </si>
  <si>
    <t>(f) Road signs TW- series, (size indicated)</t>
  </si>
  <si>
    <t>(g)  Road signs, STW-,DTG-,TGS- and TG-</t>
  </si>
  <si>
    <r>
      <t>m</t>
    </r>
    <r>
      <rPr>
        <vertAlign val="superscript"/>
        <sz val="9"/>
        <rFont val="Arial"/>
        <family val="2"/>
      </rPr>
      <t>2</t>
    </r>
  </si>
  <si>
    <t>series( excluding delineators and barricades)</t>
  </si>
  <si>
    <t>(h) Delineators (DTG50J)</t>
  </si>
  <si>
    <t xml:space="preserve">         (i) Single</t>
  </si>
  <si>
    <t xml:space="preserve">         (ii) Mounted back to back</t>
  </si>
  <si>
    <t>j</t>
  </si>
  <si>
    <t>(j) Traffic cones 600mm</t>
  </si>
  <si>
    <t>(l) movable barriers (type indicated)</t>
  </si>
  <si>
    <t>TOTAL CARRIED FORWARD TO SUMMARY</t>
  </si>
  <si>
    <t>(n) Safety jackets and hats</t>
  </si>
  <si>
    <t>Relocation of traffic-control facilities</t>
  </si>
  <si>
    <t>Lump</t>
  </si>
  <si>
    <t>Gravelling and repair of temporary deviations</t>
  </si>
  <si>
    <t>and existing gravel shoulders used as</t>
  </si>
  <si>
    <t>(a) Temporary deviations</t>
  </si>
  <si>
    <t>Watering of temporary deviations</t>
  </si>
  <si>
    <t>kl</t>
  </si>
  <si>
    <t>15.07</t>
  </si>
  <si>
    <t>Blading by road grader of:</t>
  </si>
  <si>
    <t>km-pass</t>
  </si>
  <si>
    <t>(b) Existing roads used as temporary deviations</t>
  </si>
  <si>
    <t>Repairs, alterations,and/or additions to</t>
  </si>
  <si>
    <t>existing roads used as temporary deviations</t>
  </si>
  <si>
    <t>B15.14</t>
  </si>
  <si>
    <t>Allow providisional sum for:</t>
  </si>
  <si>
    <t>(a) Repair of damaged road signs</t>
  </si>
  <si>
    <t>and delineartors</t>
  </si>
  <si>
    <t>Prov</t>
  </si>
  <si>
    <t xml:space="preserve">(b) Replacement of damaged temporary road signs </t>
  </si>
  <si>
    <t>and delineators</t>
  </si>
  <si>
    <t>SCHEDULE B : ROADWORKS</t>
  </si>
  <si>
    <t>SECTION 1700</t>
  </si>
  <si>
    <t>CLEARING AND GRUBBING</t>
  </si>
  <si>
    <t>B17.01</t>
  </si>
  <si>
    <t>Clearing and grubbing including Sand:</t>
  </si>
  <si>
    <t>Removal</t>
  </si>
  <si>
    <t>a)  Normal areas</t>
  </si>
  <si>
    <t>(i)  Within the road reserve</t>
  </si>
  <si>
    <t xml:space="preserve"> ha</t>
  </si>
  <si>
    <t>(ii) In borrow areas</t>
  </si>
  <si>
    <t>Removing and grubbing of large trees and tree stumps</t>
  </si>
  <si>
    <t>(a) Girth exceeding 1m up to and including 2m</t>
  </si>
  <si>
    <t>(b) Girth exceeding 2m up to and including 3m</t>
  </si>
  <si>
    <t>1700</t>
  </si>
  <si>
    <t>SECTION 2100</t>
  </si>
  <si>
    <t>DRAINS</t>
  </si>
  <si>
    <t>21.01</t>
  </si>
  <si>
    <t>Excavation for open drains:</t>
  </si>
  <si>
    <t>(a)     Excavating soft materials</t>
  </si>
  <si>
    <t xml:space="preserve">        situated within the following</t>
  </si>
  <si>
    <t xml:space="preserve">        depth ranges below the surface</t>
  </si>
  <si>
    <t xml:space="preserve">        level:</t>
  </si>
  <si>
    <t>(i)     0 m up to 1,5m</t>
  </si>
  <si>
    <r>
      <t>m</t>
    </r>
    <r>
      <rPr>
        <vertAlign val="superscript"/>
        <sz val="10"/>
        <rFont val="Arial"/>
        <family val="2"/>
      </rPr>
      <t>3</t>
    </r>
  </si>
  <si>
    <t>(ii)    Exceeding 1,5m and up to 3,0m</t>
  </si>
  <si>
    <t>SECTION 200</t>
  </si>
  <si>
    <t>ITEM No</t>
  </si>
  <si>
    <t>QTY</t>
  </si>
  <si>
    <t xml:space="preserve">   AMOUNT</t>
  </si>
  <si>
    <t>Section 2200</t>
  </si>
  <si>
    <t>PREFABRICATED CULVERTS</t>
  </si>
  <si>
    <t>Excavation:</t>
  </si>
  <si>
    <t>Excavate soft material situated within the following depth ranges below the surface level:</t>
  </si>
  <si>
    <t>(i)</t>
  </si>
  <si>
    <t>0m to 1.5m</t>
  </si>
  <si>
    <t>(ii)</t>
  </si>
  <si>
    <t>Exceeding 1.5m and up to 3.0m</t>
  </si>
  <si>
    <t>B22.02</t>
  </si>
  <si>
    <t>Backfilling:</t>
  </si>
  <si>
    <t>Using excavated material:</t>
  </si>
  <si>
    <t>Using imported material</t>
  </si>
  <si>
    <t>Portal and rectangular culverts: Class 100s</t>
  </si>
  <si>
    <t xml:space="preserve">(2) 600 mm dia class 100D concrete pipe culvert on </t>
  </si>
  <si>
    <t xml:space="preserve">     class B bedding</t>
  </si>
  <si>
    <t xml:space="preserve">(2) 900 mm dia class 100D concrete pipe culvert on </t>
  </si>
  <si>
    <t>SECTION 2300</t>
  </si>
  <si>
    <t>CONCRETE KERBING</t>
  </si>
  <si>
    <t>CONCRETE KERBING, CONCRETE</t>
  </si>
  <si>
    <t>CHANNELLING, CHUTES AND</t>
  </si>
  <si>
    <t>DOWNPIPES, AND CONCRETE LININGS</t>
  </si>
  <si>
    <t>FOR OPEN DRAINS</t>
  </si>
  <si>
    <t>Concrete kerbing</t>
  </si>
  <si>
    <t>(a) Precast kerbing to SABS 927</t>
  </si>
  <si>
    <t xml:space="preserve">     (2) Figure 8B (Mountable)</t>
  </si>
  <si>
    <t>Concrete kerbing-channeling combination</t>
  </si>
  <si>
    <t xml:space="preserve">     (2) Figure 8B kerb (Mountable) Type C:</t>
  </si>
  <si>
    <t xml:space="preserve">          (i) with 300mm wide concrete channel </t>
  </si>
  <si>
    <t>23.07</t>
  </si>
  <si>
    <t>Trimming of excavations for concrete-lined</t>
  </si>
  <si>
    <t>open drains:</t>
  </si>
  <si>
    <t>In soft material</t>
  </si>
  <si>
    <t>In hard material</t>
  </si>
  <si>
    <t>23.08</t>
  </si>
  <si>
    <t>Concrete lining for open drains:</t>
  </si>
  <si>
    <t xml:space="preserve">Cast in situ class 25/19 concrete </t>
  </si>
  <si>
    <t>lining in v-drains*</t>
  </si>
  <si>
    <t xml:space="preserve">Class U2 surface finish to cast in situ </t>
  </si>
  <si>
    <t>concrete in v-drains*</t>
  </si>
  <si>
    <t>23.09</t>
  </si>
  <si>
    <t xml:space="preserve">Formwork to cast in situ concrete lining for </t>
  </si>
  <si>
    <t>open drains (class F2 surface finish):</t>
  </si>
  <si>
    <t>To sides with formwork on the internal face only</t>
  </si>
  <si>
    <t>To sides with formwork on both internal and</t>
  </si>
  <si>
    <t>external faces (each face measured)</t>
  </si>
  <si>
    <t>To ends of slabs</t>
  </si>
  <si>
    <t>Sealed joints in concrete linings of open drains</t>
  </si>
  <si>
    <t xml:space="preserve">(a) Polysulphide sealants </t>
  </si>
  <si>
    <t xml:space="preserve">(b) Soft Board expansion </t>
  </si>
  <si>
    <t>(b) Class 20/19</t>
  </si>
  <si>
    <t>Steel reinforcing:</t>
  </si>
  <si>
    <t>LI (c)</t>
  </si>
  <si>
    <t>Welded steel fabric(ref 193)</t>
  </si>
  <si>
    <t>kg</t>
  </si>
  <si>
    <t>23.13</t>
  </si>
  <si>
    <t xml:space="preserve">Polyethylene sheeting (0,15 mm thick) for </t>
  </si>
  <si>
    <t>concrete-lined open drains</t>
  </si>
  <si>
    <t>23.14</t>
  </si>
  <si>
    <t xml:space="preserve">Cutting paving surfacing and pavement </t>
  </si>
  <si>
    <t>layers for concrete kerbing, channelling or</t>
  </si>
  <si>
    <t>concrete-lined drains</t>
  </si>
  <si>
    <t>SECTION 3100</t>
  </si>
  <si>
    <t>BORROW MATERIALS</t>
  </si>
  <si>
    <t>B31.01</t>
  </si>
  <si>
    <t xml:space="preserve">Excess overburden </t>
  </si>
  <si>
    <t>(a)     0 m up to 1,5m</t>
  </si>
  <si>
    <t>(b)    Exceeding 1,5m and up to 3,0m</t>
  </si>
  <si>
    <t>Finishing -off borrow areas in:</t>
  </si>
  <si>
    <t>(a) Hard material</t>
  </si>
  <si>
    <t>(b) Intermediate Material</t>
  </si>
  <si>
    <t>SECTION 3300</t>
  </si>
  <si>
    <t>MASS EARTHWORKS</t>
  </si>
  <si>
    <t>Cut and borrow to fill, including freehaul up to 1,0 km.</t>
  </si>
  <si>
    <t>(a) Gravel material in compacted layer thickness of 150mm and less</t>
  </si>
  <si>
    <t>(i) Compacted to 90% of modified</t>
  </si>
  <si>
    <t>AASHTO density</t>
  </si>
  <si>
    <t>Extra over item 33.01 for excavating and</t>
  </si>
  <si>
    <t>breaking down material in:</t>
  </si>
  <si>
    <t>(a) Intermediate excavation</t>
  </si>
  <si>
    <t>(b) Hard excavation</t>
  </si>
  <si>
    <t xml:space="preserve">Cut to spoil, including free haul up to 1,0 km.  </t>
  </si>
  <si>
    <t>Material obtained from :</t>
  </si>
  <si>
    <t>(a) Soft excavation</t>
  </si>
  <si>
    <t>33.10</t>
  </si>
  <si>
    <t>Roadbed preparation and the compaction of material</t>
  </si>
  <si>
    <t>(b) Compaction to 93% of modified</t>
  </si>
  <si>
    <t>Finishing-off cut and fill slopes, medians</t>
  </si>
  <si>
    <t>and interchange areas:</t>
  </si>
  <si>
    <t>(a) Cut slopes</t>
  </si>
  <si>
    <t>(b) Fill slopes</t>
  </si>
  <si>
    <t>B33.14</t>
  </si>
  <si>
    <t>Stockpiling of material (for re-use)</t>
  </si>
  <si>
    <t>33/16.02</t>
  </si>
  <si>
    <t>Overhaul (extra over iterms 33.01 on material hauled in excess of the free-haul distance of 1km (ordinary overhaul)</t>
  </si>
  <si>
    <t>m³.km</t>
  </si>
  <si>
    <t>SECTION 3400</t>
  </si>
  <si>
    <t>B34.01</t>
  </si>
  <si>
    <t>(a) (i)Gravel selected layer ( selected un stabilized gravel)</t>
  </si>
  <si>
    <t>compacted to:</t>
  </si>
  <si>
    <t>(i) 93% of modified AASHTO density</t>
  </si>
  <si>
    <t>Class G5 (150mm compacted layer thickness)</t>
  </si>
  <si>
    <t>(c) Gravel subbase ( stabilized gravel)</t>
  </si>
  <si>
    <t>(i) 95% of modified AASHTO density</t>
  </si>
  <si>
    <t>(f) Gravel base (chemically stabilized</t>
  </si>
  <si>
    <t>material) compacted to:</t>
  </si>
  <si>
    <t>(ii) 98% of modified AASHTO density</t>
  </si>
  <si>
    <t>(150mm compacted layer thickness)</t>
  </si>
  <si>
    <t>Pavement layers constructed from gravel obtained</t>
  </si>
  <si>
    <t>from existing pavement layers :</t>
  </si>
  <si>
    <t xml:space="preserve">Gravel shoulder wearing coarse compacted to 93% </t>
  </si>
  <si>
    <t>mod AASHTO density using</t>
  </si>
  <si>
    <t>B34.10</t>
  </si>
  <si>
    <t>(a) Vibratory rollers</t>
  </si>
  <si>
    <t>(d) Flat-wheeled rollers</t>
  </si>
  <si>
    <t>(e) Pneumatic-tyred rollers</t>
  </si>
  <si>
    <t>Watering the pavement excavation floor</t>
  </si>
  <si>
    <t>Overhaul (extra over iterms 34.01 on material hauled in excess of the free-haul distance of 1km (ordinary overhaul)</t>
  </si>
  <si>
    <t>SECTION 3500</t>
  </si>
  <si>
    <t>STABILIZATION</t>
  </si>
  <si>
    <t>35.01</t>
  </si>
  <si>
    <t>Chemical stabilization extra over</t>
  </si>
  <si>
    <t>unstabilized compacted layers:</t>
  </si>
  <si>
    <t>(a)     Base: (thickness 150mm),C3</t>
  </si>
  <si>
    <t>(b)     Sub Base: (thickness 150mm),C4</t>
  </si>
  <si>
    <t>B35.02</t>
  </si>
  <si>
    <t>Chemical stabilizing agent:(Specific Road cement only)</t>
  </si>
  <si>
    <t>BC5.4.14</t>
  </si>
  <si>
    <t>(a) Cement (CEM II B-L 32.5N,Sure Road or Road Cem brand,or any road cement)</t>
  </si>
  <si>
    <t xml:space="preserve">  t</t>
  </si>
  <si>
    <t>Trial section for a chemically stabilised layer</t>
  </si>
  <si>
    <t>(a)     Base: (thickness 150mm)</t>
  </si>
  <si>
    <t>(b)     Sub Base: (thickness 150mm)</t>
  </si>
  <si>
    <t xml:space="preserve">Provision and application of water for curing </t>
  </si>
  <si>
    <t>stabilized layers</t>
  </si>
  <si>
    <t>3500</t>
  </si>
  <si>
    <t>SECTION 3600</t>
  </si>
  <si>
    <t>CRUSHED-STONE BASE</t>
  </si>
  <si>
    <t>Qty Previous</t>
  </si>
  <si>
    <t>Qty This Cert</t>
  </si>
  <si>
    <t>Qty Total</t>
  </si>
  <si>
    <t>Crushed-stone base:</t>
  </si>
  <si>
    <t xml:space="preserve">Constructed from type G1 Graded Crushed Stone material obtained from </t>
  </si>
  <si>
    <t xml:space="preserve">commercial sources </t>
  </si>
  <si>
    <t>(a) 150mm G1 Crusher run material compacted to:</t>
  </si>
  <si>
    <t xml:space="preserve">      88% of apparent relative density</t>
  </si>
  <si>
    <t>Additional compaction</t>
  </si>
  <si>
    <t>(a) Extra over sub-item 36.01(a) for compaction to 89%</t>
  </si>
  <si>
    <t xml:space="preserve">      of relative density</t>
  </si>
  <si>
    <t xml:space="preserve">Crushed stone base trial section constructed in </t>
  </si>
  <si>
    <t>accordance with the provisions of clause 3603</t>
  </si>
  <si>
    <t>SCHEDULE A: ROADWORKS</t>
  </si>
  <si>
    <t>ITEM NO</t>
  </si>
  <si>
    <t>PRIME COAT</t>
  </si>
  <si>
    <t>B41.01</t>
  </si>
  <si>
    <t>Prime coat:</t>
  </si>
  <si>
    <t>(e)  MC-30 cut-back bitumen</t>
  </si>
  <si>
    <t>litre</t>
  </si>
  <si>
    <t>TOTAL SECTION 3400 CARRIED TO SUMMARY</t>
  </si>
  <si>
    <t>SECTION 4200</t>
  </si>
  <si>
    <t>ASPHALT BASE AND SURFACING</t>
  </si>
  <si>
    <t>42.02</t>
  </si>
  <si>
    <t>Asphalt surfacing (30mm thick using 60/70</t>
  </si>
  <si>
    <t>penetration grade bitumen) on approaches</t>
  </si>
  <si>
    <t>(a)    Continously graded (medium)</t>
  </si>
  <si>
    <t>42.04</t>
  </si>
  <si>
    <t>Tack coat of 30% stable-grade emulsion</t>
  </si>
  <si>
    <t>42.05</t>
  </si>
  <si>
    <t>Binder variations:</t>
  </si>
  <si>
    <t>(a)    60/70 Penetration grade bitumen</t>
  </si>
  <si>
    <t>42.06</t>
  </si>
  <si>
    <t>Variation in active filler content:</t>
  </si>
  <si>
    <t>(a)    Cement</t>
  </si>
  <si>
    <t>42.08</t>
  </si>
  <si>
    <t>100mm cores in asphalt paving &amp; Testing</t>
  </si>
  <si>
    <t>SECTION 5100</t>
  </si>
  <si>
    <t>PITCHING, STONEWORK AND PROTECTION</t>
  </si>
  <si>
    <t>AGAINST EROSION</t>
  </si>
  <si>
    <t>B51.01</t>
  </si>
  <si>
    <t>Stone masonary walls:</t>
  </si>
  <si>
    <t>LI (b)</t>
  </si>
  <si>
    <t>Grouted stone pitching</t>
  </si>
  <si>
    <t>Cement - motared stone wall</t>
  </si>
  <si>
    <r>
      <t>m</t>
    </r>
    <r>
      <rPr>
        <vertAlign val="superscript"/>
        <sz val="10"/>
        <color rgb="FF000000"/>
        <rFont val="Arial"/>
        <family val="2"/>
      </rPr>
      <t>3</t>
    </r>
  </si>
  <si>
    <t>LI 51.05</t>
  </si>
  <si>
    <t>Concrete edge beams (Class 25/19 concrete) 300mmx300mm</t>
  </si>
  <si>
    <t>51/52.01</t>
  </si>
  <si>
    <t xml:space="preserve">Foundation trench excavation </t>
  </si>
  <si>
    <t>In all other classes of material</t>
  </si>
  <si>
    <t>SECTION 5200</t>
  </si>
  <si>
    <t>GABIONS</t>
  </si>
  <si>
    <t>Foundation trench excavation and backfilling :</t>
  </si>
  <si>
    <t>Surface preparaton for bedding the gabions</t>
  </si>
  <si>
    <t>Gabions :</t>
  </si>
  <si>
    <t>Galvanised gabion boxes :</t>
  </si>
  <si>
    <t>Mesh size:  80mm x 80mm</t>
  </si>
  <si>
    <t>Wire diameter : 2.7mm</t>
  </si>
  <si>
    <t>Diaphragm spacing : 1m</t>
  </si>
  <si>
    <t>2m x 1m x 1m</t>
  </si>
  <si>
    <t>3m x 1m x 1m</t>
  </si>
  <si>
    <t>(iii)</t>
  </si>
  <si>
    <t>4m x 1m x 1m</t>
  </si>
  <si>
    <t>Filter fabric : (Grade U24 or approved equivalent)</t>
  </si>
  <si>
    <t>SECTION 5400</t>
  </si>
  <si>
    <t xml:space="preserve">RATE </t>
  </si>
  <si>
    <t>GUARDRAILS</t>
  </si>
  <si>
    <t xml:space="preserve">54.01 </t>
  </si>
  <si>
    <t>Guardrails on timber posts:</t>
  </si>
  <si>
    <t>LI (a)</t>
  </si>
  <si>
    <t>Galvanised</t>
  </si>
  <si>
    <t>54.03</t>
  </si>
  <si>
    <t>Extra over items 54.01, 54.02 and 54.11 for horizontally curved guardrails factory bent to a radius of less than 45m</t>
  </si>
  <si>
    <t>End treatments</t>
  </si>
  <si>
    <t>(ii) End treatments where single guardrail sections are used (including additional posts)</t>
  </si>
  <si>
    <t>End wings</t>
  </si>
  <si>
    <t>(b) Bull noses</t>
  </si>
  <si>
    <t>End teatments in accordance with the</t>
  </si>
  <si>
    <t>drawings where single guardrail sections</t>
  </si>
  <si>
    <t>are use</t>
  </si>
  <si>
    <t>(e) End treatments in accordance with the drawings where double guardrail sections are used</t>
  </si>
  <si>
    <t>Additional guardrail posts</t>
  </si>
  <si>
    <t>Timber</t>
  </si>
  <si>
    <t>Reflective plates</t>
  </si>
  <si>
    <t>SECTION 5700</t>
  </si>
  <si>
    <t>ROAD MARKINGS AND STUDS</t>
  </si>
  <si>
    <t>57.02</t>
  </si>
  <si>
    <t>Retro-reflective road-marking paint:</t>
  </si>
  <si>
    <t>White lines (broken or unbroken):</t>
  </si>
  <si>
    <t>100 mm wide</t>
  </si>
  <si>
    <t>200 mm wide</t>
  </si>
  <si>
    <t>Yellow lines (broken or unbroken):</t>
  </si>
  <si>
    <t>White lettering and symbols</t>
  </si>
  <si>
    <t xml:space="preserve">Yellow lettering and symbols </t>
  </si>
  <si>
    <t>Transverse lines, painted island and arrestor</t>
  </si>
  <si>
    <t>bed markings (any colour)</t>
  </si>
  <si>
    <t>B57.06</t>
  </si>
  <si>
    <t xml:space="preserve">Setting out and premarking the lines </t>
  </si>
  <si>
    <t xml:space="preserve">(excluding traffic-island markings, lettering </t>
  </si>
  <si>
    <t>and symbols)</t>
  </si>
  <si>
    <t>B57.07</t>
  </si>
  <si>
    <t>Road studs</t>
  </si>
  <si>
    <t xml:space="preserve">Permanent road studs compliant to SANS 1442 </t>
  </si>
  <si>
    <t>(yellow,bi-directional,surface bonded with anchor shank,glas)</t>
  </si>
  <si>
    <t xml:space="preserve"> 5700</t>
  </si>
  <si>
    <t>SECTION 5600</t>
  </si>
  <si>
    <t>ROAD SIGNS</t>
  </si>
  <si>
    <t>Road sign boards with painted or</t>
  </si>
  <si>
    <t>coloured semi-matt background.</t>
  </si>
  <si>
    <t>Symbols,lettering and borders in</t>
  </si>
  <si>
    <t>semi-matt black or in Class 1 retro-</t>
  </si>
  <si>
    <t xml:space="preserve">reflective material, where the sign </t>
  </si>
  <si>
    <t>board is constructed from:</t>
  </si>
  <si>
    <t xml:space="preserve">(c)     Prepainted galvanized steel </t>
  </si>
  <si>
    <t xml:space="preserve">        plate (chromadek 1,6mm thick or</t>
  </si>
  <si>
    <t xml:space="preserve">        approved equivalent)</t>
  </si>
  <si>
    <r>
      <t>(i)     Area not exceeding 2m</t>
    </r>
    <r>
      <rPr>
        <vertAlign val="superscript"/>
        <sz val="9"/>
        <rFont val="Arial"/>
        <family val="2"/>
      </rPr>
      <t>2</t>
    </r>
  </si>
  <si>
    <t>Extra over B56.01 for using:</t>
  </si>
  <si>
    <t>(a)     Background of retro-reflective</t>
  </si>
  <si>
    <t xml:space="preserve">        material:</t>
  </si>
  <si>
    <t>(iii)   Class I</t>
  </si>
  <si>
    <t>(b)     Lettering, symbols, numbers, arrows, emblems</t>
  </si>
  <si>
    <t>(ii)     Class III</t>
  </si>
  <si>
    <t>56.03</t>
  </si>
  <si>
    <t>Road sign supports (overhead road sign structures excluded)</t>
  </si>
  <si>
    <t>(a)     Steel tubing (wall thickness 3mm)</t>
  </si>
  <si>
    <t>(i)     75mm</t>
  </si>
  <si>
    <t>56.05</t>
  </si>
  <si>
    <t>Excavation and backfilling for road</t>
  </si>
  <si>
    <r>
      <t xml:space="preserve"> m</t>
    </r>
    <r>
      <rPr>
        <vertAlign val="superscript"/>
        <sz val="9"/>
        <rFont val="Arial"/>
        <family val="2"/>
      </rPr>
      <t>3</t>
    </r>
  </si>
  <si>
    <t>sign supports (not applicable to</t>
  </si>
  <si>
    <t>kilometre posts)</t>
  </si>
  <si>
    <t>56.06</t>
  </si>
  <si>
    <t>Extra over item 56.05 for cement-</t>
  </si>
  <si>
    <t>treated soil backfill</t>
  </si>
  <si>
    <t>Extra over item 56.05 for rock excavation</t>
  </si>
  <si>
    <t>Hazard plates:</t>
  </si>
  <si>
    <t>(a) 200mm*800mm</t>
  </si>
  <si>
    <t>SECTION 5900</t>
  </si>
  <si>
    <t xml:space="preserve">FINISHING THE ROAD AND ROAD RESERVE </t>
  </si>
  <si>
    <t>Finishing the road and road reserve:</t>
  </si>
  <si>
    <t>(b)    Single carriageway road</t>
  </si>
  <si>
    <t>5900</t>
  </si>
  <si>
    <t>SECTION 7300</t>
  </si>
  <si>
    <t>CONCRETE BLOCK PAVING FOR ROADS</t>
  </si>
  <si>
    <t>Concrete Block Paving:</t>
  </si>
  <si>
    <t>Provide and Construct interlocking paving lain in herringbone</t>
  </si>
  <si>
    <t>pattern 80 mm thick, 25 Mpa Type S-A concrete paving blocks.</t>
  </si>
  <si>
    <r>
      <t>m</t>
    </r>
    <r>
      <rPr>
        <vertAlign val="superscript"/>
        <sz val="11"/>
        <rFont val="Arial Narrow"/>
        <family val="2"/>
      </rPr>
      <t>2</t>
    </r>
  </si>
  <si>
    <t>price must include bedding, Sand layer, Compaction and</t>
  </si>
  <si>
    <t xml:space="preserve">finishing (Colour to suit Client including labour and profit) </t>
  </si>
  <si>
    <t>Provision of approved herbicide and ant poison :</t>
  </si>
  <si>
    <t>(a) Provision of materials</t>
  </si>
  <si>
    <t>(b) Contractor's charges and profit added to the prime cost sum</t>
  </si>
  <si>
    <t xml:space="preserve">(i) A complete speed hump as specified on drawing </t>
  </si>
  <si>
    <t>SECTION 8100</t>
  </si>
  <si>
    <t>81.02</t>
  </si>
  <si>
    <t>Other special tests requested by the</t>
  </si>
  <si>
    <t>Engineer:</t>
  </si>
  <si>
    <t>(a)     Cost of testing</t>
  </si>
  <si>
    <t>P. Sum</t>
  </si>
  <si>
    <t xml:space="preserve">        overheads and profits</t>
  </si>
  <si>
    <t>8100</t>
  </si>
  <si>
    <t>SUMMARY OF SCHEDULE  OF QUANTITIES</t>
  </si>
  <si>
    <t xml:space="preserve">SUB-TOTAL TO MAIN SUMMARY  </t>
  </si>
  <si>
    <t>SUMMARY OF SCHEDULE B :   ROADWORKS</t>
  </si>
  <si>
    <t>STABILISATION</t>
  </si>
  <si>
    <t>CRUSHED STONE BASE</t>
  </si>
  <si>
    <t>PITCHING, STONEWORK AND PROTECTION AGAIST EROSION</t>
  </si>
  <si>
    <t>ROAD MARKINGS</t>
  </si>
  <si>
    <t>FINISHING THE ROAD AND ROAD RESERVE AND TREATMENT OF OLD ROADS</t>
  </si>
  <si>
    <t>1.5.1.2</t>
  </si>
  <si>
    <t>Concrete Palisade Fencing - Construct and Installation of 2,4m high concrete palisade fencing as per drawing with complete ground beams and razor wire,stays inluding excavations, concrete foundation/footings and lockable steel gates of 2m width)Your rate to include all the profit, all your labour, material and delivery &amp; all tests, to protect the grave</t>
  </si>
  <si>
    <t>ROADS (COLTO 1500 TO 8100)</t>
  </si>
  <si>
    <t>SECTION 4100</t>
  </si>
  <si>
    <t>(b) Import commercial source at least G7 from Borrowpits as directed by engineer material to be used for embankment, place and compact    including final trimming and shaping</t>
  </si>
  <si>
    <t>(a) Haul from stockpiles commercial source place and compact   including final trimming and shaping (at G7 quality)</t>
  </si>
  <si>
    <t>CONTRACT NUMBER: GLM015/2025</t>
  </si>
  <si>
    <t>CONSTRUCTION OF MAPHALLE LANDFILL SITE PH2</t>
  </si>
  <si>
    <t>(c)     Charge on provisional sum for</t>
  </si>
  <si>
    <t>a)  Construction of Recycling area as engineer specifications</t>
  </si>
  <si>
    <t>(b)   Engineer Quality Monitoring &amp; Control</t>
  </si>
  <si>
    <t>(d) Boulders class A  hard Excavation including rock Blasting</t>
  </si>
  <si>
    <t>B33.04</t>
  </si>
  <si>
    <r>
      <t>Pavement layers constructed from gravel taken fromcut,stockpile and</t>
    </r>
    <r>
      <rPr>
        <sz val="9"/>
        <color rgb="FFFF0000"/>
        <rFont val="Arial"/>
        <family val="2"/>
      </rPr>
      <t xml:space="preserve"> </t>
    </r>
    <r>
      <rPr>
        <sz val="9"/>
        <rFont val="Arial"/>
        <family val="2"/>
      </rPr>
      <t>commercial source, incl. free-haul up to 1,0 km.</t>
    </r>
  </si>
  <si>
    <t>B81.02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</si>
</sst>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7" formatCode="&quot;R&quot;#,##0.00;\-&quot;R&quot;#,##0.00"/>
    <numFmt numFmtId="8" formatCode="&quot;R&quot;#,##0.00;[Red]\-&quot;R&quot;#,##0.00"/>
    <numFmt numFmtId="44" formatCode="_-&quot;R&quot;* #,##0.00_-;\-&quot;R&quot;* #,##0.00_-;_-&quot;R&quot;* &quot;-&quot;??_-;_-@_-"/>
    <numFmt numFmtId="43" formatCode="_-* #,##0.00_-;\-* #,##0.00_-;_-* &quot;-&quot;??_-;_-@_-"/>
    <numFmt numFmtId="164" formatCode="_(* #,##0.00_);_(* \(#,##0.00\);_(* &quot;-&quot;??_);_(@_)"/>
    <numFmt numFmtId="165" formatCode="_ &quot;R&quot;\ * #,##0.00_ ;_ &quot;R&quot;\ * \-#,##0.00_ ;_ &quot;R&quot;\ * &quot;-&quot;??_ ;_ @_ "/>
    <numFmt numFmtId="166" formatCode="_ * #,##0.00_ ;_ * \-#,##0.00_ ;_ * &quot;-&quot;??_ ;_ @_ "/>
    <numFmt numFmtId="167" formatCode="[$R-1C09]\ #,##0.00"/>
    <numFmt numFmtId="168" formatCode="&quot;R&quot;\ #,##0.00"/>
    <numFmt numFmtId="169" formatCode="0.0"/>
    <numFmt numFmtId="170" formatCode="&quot;R&quot;#,##0.00"/>
    <numFmt numFmtId="171" formatCode="[$-F800]dddd\,\ mmmm\ dd\,\ yyyy"/>
    <numFmt numFmtId="172" formatCode="0.0000000000"/>
    <numFmt numFmtId="173" formatCode="#,##0.00;[Red]#,##0.00"/>
    <numFmt numFmtId="174" formatCode="[Red]General"/>
    <numFmt numFmtId="175" formatCode="&quot;R&quot;\ #,##0.00;[Red]&quot;R&quot;\ \-#,##0.00"/>
    <numFmt numFmtId="176" formatCode="_ [$R-1C09]\ * #,##0.00_ ;_ [$R-1C09]\ * \-#,##0.00_ ;_ [$R-1C09]\ * &quot;-&quot;??_ ;_ @_ "/>
    <numFmt numFmtId="177" formatCode="&quot;R&quot;\ #,##0.00;&quot;R&quot;\ \-#,##0.00"/>
    <numFmt numFmtId="178" formatCode="_-[$R-1C09]* #,##0.00_-;\-[$R-1C09]* #,##0.00_-;_-[$R-1C09]* &quot;-&quot;??_-;_-@_-"/>
    <numFmt numFmtId="179" formatCode="#,##0.0"/>
    <numFmt numFmtId="180" formatCode="_-[$R-430]* #,##0.00_-;\-[$R-430]* #,##0.00_-;_-[$R-430]* &quot;-&quot;??_-;_-@_-"/>
    <numFmt numFmtId="181" formatCode="_ * #,##0_ ;_ * \-#,##0_ ;_ * &quot;-&quot;??_ ;_ @_ "/>
  </numFmts>
  <fonts count="112">
    <font>
      <sz val="11"/>
      <color theme="1"/>
      <name val="Calibri"/>
      <family val="2"/>
      <scheme val="minor"/>
    </font>
    <font>
      <sz val="10"/>
      <name val="Arial"/>
      <family val="2"/>
    </font>
    <font>
      <b/>
      <u/>
      <sz val="11"/>
      <name val="Arial"/>
      <family val="2"/>
    </font>
    <font>
      <sz val="11"/>
      <name val="Arial"/>
      <family val="2"/>
    </font>
    <font>
      <b/>
      <sz val="11"/>
      <name val="Arial"/>
      <family val="2"/>
    </font>
    <font>
      <u/>
      <sz val="11"/>
      <name val="Arial"/>
      <family val="2"/>
    </font>
    <font>
      <sz val="11"/>
      <color indexed="9"/>
      <name val="Arial"/>
      <family val="2"/>
    </font>
    <font>
      <sz val="10"/>
      <name val="Arial"/>
      <family val="2"/>
    </font>
    <font>
      <vertAlign val="superscript"/>
      <sz val="11"/>
      <name val="Arial"/>
      <family val="2"/>
    </font>
    <font>
      <sz val="11"/>
      <color theme="1"/>
      <name val="Calibri"/>
      <family val="2"/>
      <scheme val="minor"/>
    </font>
    <font>
      <b/>
      <u/>
      <sz val="11"/>
      <color rgb="FFFF0000"/>
      <name val="Arial"/>
      <family val="2"/>
    </font>
    <font>
      <b/>
      <sz val="11"/>
      <color rgb="FFFF0000"/>
      <name val="Arial"/>
      <family val="2"/>
    </font>
    <font>
      <sz val="11"/>
      <color rgb="FFFF0000"/>
      <name val="Arial"/>
      <family val="2"/>
    </font>
    <font>
      <i/>
      <sz val="11"/>
      <name val="Arial"/>
      <family val="2"/>
    </font>
    <font>
      <sz val="11"/>
      <color theme="1"/>
      <name val="Arial"/>
      <family val="2"/>
    </font>
    <font>
      <sz val="10"/>
      <name val="Arial"/>
      <family val="2"/>
    </font>
    <font>
      <sz val="12"/>
      <name val="Arial"/>
      <family val="2"/>
    </font>
    <font>
      <sz val="10"/>
      <name val="Arial Narrow"/>
      <family val="2"/>
    </font>
    <font>
      <sz val="11"/>
      <color theme="1"/>
      <name val="Arial Narrow"/>
      <family val="2"/>
    </font>
    <font>
      <sz val="9"/>
      <name val="Arial"/>
      <family val="2"/>
    </font>
    <font>
      <b/>
      <sz val="9"/>
      <name val="Arial"/>
      <family val="2"/>
    </font>
    <font>
      <b/>
      <sz val="10"/>
      <name val="Arial"/>
      <family val="2"/>
    </font>
    <font>
      <b/>
      <sz val="12"/>
      <name val="Times New Roman"/>
      <family val="1"/>
    </font>
    <font>
      <b/>
      <sz val="14"/>
      <name val="Times New Roman"/>
      <family val="1"/>
    </font>
    <font>
      <b/>
      <sz val="14"/>
      <name val="Arial Rounded MT Bold"/>
      <family val="2"/>
    </font>
    <font>
      <sz val="10"/>
      <name val="Times New Roman"/>
      <family val="1"/>
    </font>
    <font>
      <sz val="12"/>
      <name val="Times New Roman"/>
      <family val="1"/>
    </font>
    <font>
      <sz val="14"/>
      <name val="Times New Roman"/>
      <family val="1"/>
    </font>
    <font>
      <b/>
      <sz val="9"/>
      <name val="Times New Roman"/>
      <family val="1"/>
    </font>
    <font>
      <b/>
      <sz val="10"/>
      <name val="Times New Roman"/>
      <family val="1"/>
    </font>
    <font>
      <b/>
      <sz val="7"/>
      <name val="Times New Roman"/>
      <family val="1"/>
    </font>
    <font>
      <b/>
      <sz val="8"/>
      <name val="Arial"/>
      <family val="2"/>
    </font>
    <font>
      <sz val="9"/>
      <name val="Dutch801SWC"/>
      <family val="1"/>
    </font>
    <font>
      <b/>
      <sz val="8"/>
      <name val="Book Antiqua"/>
      <family val="1"/>
    </font>
    <font>
      <sz val="8"/>
      <name val="Book Antiqua"/>
      <family val="1"/>
    </font>
    <font>
      <sz val="8"/>
      <name val="Arial"/>
      <family val="2"/>
    </font>
    <font>
      <b/>
      <sz val="7"/>
      <name val="MS Serif"/>
      <family val="1"/>
    </font>
    <font>
      <b/>
      <sz val="7"/>
      <name val="Book Antiqua"/>
      <family val="1"/>
    </font>
    <font>
      <sz val="7"/>
      <name val="Book Antiqua"/>
      <family val="1"/>
    </font>
    <font>
      <sz val="8"/>
      <name val="Times New Roman"/>
      <family val="1"/>
    </font>
    <font>
      <sz val="8"/>
      <color indexed="10"/>
      <name val="Times New Roman"/>
      <family val="1"/>
    </font>
    <font>
      <b/>
      <sz val="8"/>
      <name val="Times New Roman"/>
      <family val="1"/>
    </font>
    <font>
      <b/>
      <sz val="9"/>
      <name val="Dutch801SWC"/>
      <family val="1"/>
    </font>
    <font>
      <b/>
      <u/>
      <sz val="9"/>
      <name val="Book Antiqua"/>
      <family val="1"/>
    </font>
    <font>
      <i/>
      <sz val="7"/>
      <name val="Book Antiqua"/>
      <family val="1"/>
    </font>
    <font>
      <b/>
      <sz val="7"/>
      <name val="Arial"/>
      <family val="2"/>
    </font>
    <font>
      <sz val="6"/>
      <name val="Arial"/>
      <family val="2"/>
    </font>
    <font>
      <sz val="7"/>
      <name val="Arial"/>
      <family val="2"/>
    </font>
    <font>
      <sz val="5"/>
      <name val="MS Serif"/>
      <family val="1"/>
    </font>
    <font>
      <sz val="6"/>
      <name val="MS Serif"/>
      <family val="1"/>
    </font>
    <font>
      <b/>
      <sz val="8.5"/>
      <name val="MS Serif"/>
      <family val="1"/>
    </font>
    <font>
      <b/>
      <sz val="6"/>
      <name val="MS Serif"/>
      <family val="1"/>
    </font>
    <font>
      <b/>
      <sz val="9"/>
      <name val="Book Antiqua"/>
      <family val="1"/>
    </font>
    <font>
      <b/>
      <sz val="14"/>
      <name val="Book Antiqua"/>
      <family val="1"/>
    </font>
    <font>
      <b/>
      <u/>
      <sz val="10"/>
      <name val="Book Antiqua"/>
      <family val="1"/>
    </font>
    <font>
      <b/>
      <u/>
      <sz val="8"/>
      <name val="Arial"/>
      <family val="2"/>
    </font>
    <font>
      <sz val="6"/>
      <name val="Book Antiqua"/>
      <family val="1"/>
    </font>
    <font>
      <b/>
      <sz val="6"/>
      <name val="Book Antiqua"/>
      <family val="1"/>
    </font>
    <font>
      <b/>
      <sz val="8"/>
      <color indexed="10"/>
      <name val="Book Antiqua"/>
      <family val="1"/>
    </font>
    <font>
      <sz val="9"/>
      <name val="Book Antiqua"/>
      <family val="1"/>
    </font>
    <font>
      <sz val="3"/>
      <name val="Book Antiqua"/>
      <family val="1"/>
    </font>
    <font>
      <sz val="10"/>
      <color indexed="10"/>
      <name val="Arial"/>
      <family val="2"/>
    </font>
    <font>
      <sz val="10"/>
      <name val="Arial Rounded MT Bold"/>
      <family val="2"/>
    </font>
    <font>
      <b/>
      <sz val="8"/>
      <name val="Arial Rounded MT Bold"/>
      <family val="2"/>
    </font>
    <font>
      <sz val="10"/>
      <color rgb="FFFF0000"/>
      <name val="Arial"/>
      <family val="2"/>
    </font>
    <font>
      <sz val="8"/>
      <color rgb="FFFF0000"/>
      <name val="Arial"/>
      <family val="2"/>
    </font>
    <font>
      <b/>
      <sz val="11"/>
      <color indexed="81"/>
      <name val="Tahoma"/>
      <family val="2"/>
    </font>
    <font>
      <sz val="11"/>
      <color indexed="81"/>
      <name val="Tahoma"/>
      <family val="2"/>
    </font>
    <font>
      <sz val="9"/>
      <name val="Times New Roman"/>
      <family val="1"/>
    </font>
    <font>
      <sz val="6"/>
      <name val="Times New Roman"/>
      <family val="1"/>
    </font>
    <font>
      <b/>
      <u/>
      <sz val="8"/>
      <name val="Times New Roman"/>
      <family val="1"/>
    </font>
    <font>
      <sz val="7"/>
      <name val="Times New Roman"/>
      <family val="1"/>
    </font>
    <font>
      <i/>
      <sz val="10"/>
      <name val="Times New Roman"/>
      <family val="1"/>
    </font>
    <font>
      <i/>
      <sz val="8"/>
      <name val="Times New Roman"/>
      <family val="1"/>
    </font>
    <font>
      <i/>
      <sz val="7"/>
      <name val="Times New Roman"/>
      <family val="1"/>
    </font>
    <font>
      <b/>
      <sz val="6"/>
      <name val="Times New Roman"/>
      <family val="1"/>
    </font>
    <font>
      <b/>
      <sz val="12"/>
      <name val="Arial Narrow"/>
      <family val="2"/>
    </font>
    <font>
      <u/>
      <sz val="8"/>
      <name val="Arial"/>
      <family val="2"/>
    </font>
    <font>
      <sz val="8"/>
      <name val="Calibri"/>
      <family val="2"/>
      <scheme val="minor"/>
    </font>
    <font>
      <sz val="8.5"/>
      <color rgb="FF000000"/>
      <name val="Arial"/>
      <family val="2"/>
    </font>
    <font>
      <sz val="11"/>
      <color rgb="FF000000"/>
      <name val="Arial"/>
      <family val="2"/>
    </font>
    <font>
      <sz val="8"/>
      <color rgb="FF000000"/>
      <name val="Arial"/>
      <family val="2"/>
    </font>
    <font>
      <sz val="10.5"/>
      <name val="Arial"/>
      <family val="2"/>
    </font>
    <font>
      <sz val="11"/>
      <name val="Aptos Narrow"/>
      <family val="2"/>
    </font>
    <font>
      <sz val="10"/>
      <name val="Arial"/>
      <family val="2"/>
    </font>
    <font>
      <sz val="9"/>
      <name val="Arial MT"/>
    </font>
    <font>
      <sz val="11"/>
      <name val="Calibri"/>
      <family val="2"/>
    </font>
    <font>
      <i/>
      <u/>
      <sz val="11"/>
      <name val="Arial"/>
      <family val="2"/>
    </font>
    <font>
      <vertAlign val="superscript"/>
      <sz val="9"/>
      <name val="Arial"/>
      <family val="2"/>
    </font>
    <font>
      <sz val="10"/>
      <name val="Courier New"/>
      <family val="3"/>
    </font>
    <font>
      <sz val="10"/>
      <color rgb="FFC00000"/>
      <name val="Arial"/>
      <family val="2"/>
    </font>
    <font>
      <vertAlign val="superscript"/>
      <sz val="10"/>
      <name val="Arial"/>
      <family val="2"/>
    </font>
    <font>
      <sz val="10"/>
      <color rgb="FF000000"/>
      <name val="Arial"/>
      <family val="2"/>
    </font>
    <font>
      <sz val="9"/>
      <color theme="1"/>
      <name val="Arial"/>
      <family val="2"/>
    </font>
    <font>
      <b/>
      <u/>
      <sz val="10"/>
      <name val="Arial"/>
      <family val="2"/>
    </font>
    <font>
      <sz val="10"/>
      <color indexed="8"/>
      <name val="Arial"/>
      <family val="2"/>
    </font>
    <font>
      <sz val="10"/>
      <color theme="1"/>
      <name val="Arial"/>
      <family val="2"/>
    </font>
    <font>
      <sz val="9"/>
      <color rgb="FFFF0000"/>
      <name val="Arial"/>
      <family val="2"/>
    </font>
    <font>
      <sz val="9"/>
      <name val="Arial Narrow"/>
      <family val="2"/>
    </font>
    <font>
      <b/>
      <sz val="11"/>
      <name val="Arial Narrow"/>
      <family val="2"/>
    </font>
    <font>
      <sz val="11"/>
      <name val="Arial Narrow"/>
      <family val="2"/>
    </font>
    <font>
      <b/>
      <u/>
      <sz val="9"/>
      <name val="Arial"/>
      <family val="2"/>
    </font>
    <font>
      <b/>
      <sz val="11"/>
      <color rgb="FF000000"/>
      <name val="Arial"/>
      <family val="2"/>
    </font>
    <font>
      <b/>
      <sz val="10"/>
      <color rgb="FF000000"/>
      <name val="Arial"/>
      <family val="2"/>
    </font>
    <font>
      <b/>
      <u/>
      <sz val="10"/>
      <color rgb="FF000000"/>
      <name val="Arial"/>
      <family val="2"/>
    </font>
    <font>
      <vertAlign val="superscript"/>
      <sz val="10"/>
      <color rgb="FF000000"/>
      <name val="Arial"/>
      <family val="2"/>
    </font>
    <font>
      <u/>
      <sz val="10"/>
      <color rgb="FF000000"/>
      <name val="Arial"/>
      <family val="2"/>
    </font>
    <font>
      <i/>
      <sz val="9"/>
      <name val="Arial"/>
      <family val="2"/>
    </font>
    <font>
      <b/>
      <u/>
      <sz val="11"/>
      <name val="Arial Narrow"/>
      <family val="2"/>
    </font>
    <font>
      <vertAlign val="superscript"/>
      <sz val="11"/>
      <name val="Arial Narrow"/>
      <family val="2"/>
    </font>
    <font>
      <sz val="10"/>
      <color rgb="FFFFFF00"/>
      <name val="Arial"/>
      <family val="2"/>
    </font>
    <font>
      <b/>
      <sz val="14"/>
      <name val="Arial"/>
      <family val="2"/>
    </font>
  </fonts>
  <fills count="2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indexed="43"/>
        <bgColor indexed="9"/>
      </patternFill>
    </fill>
    <fill>
      <patternFill patternType="solid">
        <fgColor rgb="FFFFFF99"/>
        <bgColor indexed="9"/>
      </patternFill>
    </fill>
    <fill>
      <patternFill patternType="solid">
        <fgColor indexed="22"/>
        <bgColor indexed="22"/>
      </patternFill>
    </fill>
    <fill>
      <patternFill patternType="solid">
        <fgColor indexed="22"/>
        <bgColor indexed="9"/>
      </patternFill>
    </fill>
    <fill>
      <patternFill patternType="solid">
        <fgColor indexed="9"/>
        <bgColor indexed="9"/>
      </patternFill>
    </fill>
    <fill>
      <patternFill patternType="solid">
        <fgColor theme="0"/>
        <bgColor indexed="9"/>
      </patternFill>
    </fill>
    <fill>
      <patternFill patternType="solid">
        <fgColor indexed="9"/>
        <bgColor indexed="22"/>
      </patternFill>
    </fill>
    <fill>
      <patternFill patternType="solid">
        <fgColor theme="0"/>
        <bgColor indexed="64"/>
      </patternFill>
    </fill>
    <fill>
      <patternFill patternType="solid">
        <fgColor theme="0" tint="-4.9989318521683403E-2"/>
        <bgColor indexed="9"/>
      </patternFill>
    </fill>
    <fill>
      <patternFill patternType="solid">
        <fgColor theme="0" tint="-4.9989318521683403E-2"/>
        <bgColor indexed="64"/>
      </patternFill>
    </fill>
    <fill>
      <patternFill patternType="solid">
        <fgColor indexed="9"/>
      </patternFill>
    </fill>
    <fill>
      <patternFill patternType="solid">
        <fgColor rgb="FFFFFFFF"/>
        <bgColor indexed="64"/>
      </patternFill>
    </fill>
    <fill>
      <patternFill patternType="solid">
        <fgColor rgb="FFBBBBBB"/>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indexed="22"/>
      </patternFill>
    </fill>
    <fill>
      <patternFill patternType="solid">
        <fgColor theme="0" tint="-0.34998626667073579"/>
        <bgColor indexed="64"/>
      </patternFill>
    </fill>
  </fills>
  <borders count="189">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ck">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top style="thick">
        <color indexed="64"/>
      </top>
      <bottom/>
      <diagonal/>
    </border>
    <border>
      <left style="thin">
        <color indexed="64"/>
      </left>
      <right/>
      <top/>
      <bottom/>
      <diagonal/>
    </border>
    <border>
      <left/>
      <right/>
      <top/>
      <bottom style="dashed">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bottom style="thick">
        <color indexed="64"/>
      </bottom>
      <diagonal/>
    </border>
    <border>
      <left/>
      <right style="dashed">
        <color indexed="64"/>
      </right>
      <top/>
      <bottom style="dashed">
        <color indexed="64"/>
      </bottom>
      <diagonal/>
    </border>
    <border>
      <left/>
      <right style="dashed">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thin">
        <color indexed="64"/>
      </top>
      <bottom/>
      <diagonal/>
    </border>
    <border>
      <left style="dashed">
        <color indexed="64"/>
      </left>
      <right/>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thin">
        <color indexed="64"/>
      </top>
      <bottom/>
      <diagonal/>
    </border>
    <border>
      <left style="thin">
        <color indexed="64"/>
      </left>
      <right style="double">
        <color indexed="64"/>
      </right>
      <top/>
      <bottom/>
      <diagonal/>
    </border>
    <border>
      <left/>
      <right/>
      <top style="thin">
        <color indexed="64"/>
      </top>
      <bottom style="thin">
        <color indexed="64"/>
      </bottom>
      <diagonal/>
    </border>
    <border>
      <left/>
      <right style="double">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dashed">
        <color indexed="64"/>
      </bottom>
      <diagonal/>
    </border>
    <border>
      <left style="double">
        <color indexed="64"/>
      </left>
      <right/>
      <top/>
      <bottom/>
      <diagonal/>
    </border>
    <border>
      <left style="double">
        <color indexed="64"/>
      </left>
      <right style="double">
        <color indexed="64"/>
      </right>
      <top style="double">
        <color indexed="64"/>
      </top>
      <bottom style="thick">
        <color indexed="64"/>
      </bottom>
      <diagonal/>
    </border>
    <border>
      <left style="double">
        <color indexed="64"/>
      </left>
      <right/>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ck">
        <color indexed="0"/>
      </bottom>
      <diagonal/>
    </border>
    <border>
      <left style="thick">
        <color indexed="0"/>
      </left>
      <right/>
      <top style="thick">
        <color indexed="0"/>
      </top>
      <bottom/>
      <diagonal/>
    </border>
    <border>
      <left/>
      <right/>
      <top style="thick">
        <color indexed="0"/>
      </top>
      <bottom/>
      <diagonal/>
    </border>
    <border>
      <left/>
      <right style="thick">
        <color indexed="0"/>
      </right>
      <top style="thick">
        <color indexed="0"/>
      </top>
      <bottom/>
      <diagonal/>
    </border>
    <border>
      <left style="thick">
        <color indexed="0"/>
      </left>
      <right/>
      <top/>
      <bottom/>
      <diagonal/>
    </border>
    <border>
      <left/>
      <right style="thick">
        <color indexed="0"/>
      </right>
      <top/>
      <bottom/>
      <diagonal/>
    </border>
    <border>
      <left/>
      <right style="thick">
        <color indexed="64"/>
      </right>
      <top/>
      <bottom/>
      <diagonal/>
    </border>
    <border>
      <left style="thick">
        <color indexed="0"/>
      </left>
      <right/>
      <top/>
      <bottom style="medium">
        <color indexed="64"/>
      </bottom>
      <diagonal/>
    </border>
    <border>
      <left style="thick">
        <color indexed="0"/>
      </left>
      <right/>
      <top/>
      <bottom style="thick">
        <color indexed="0"/>
      </bottom>
      <diagonal/>
    </border>
    <border>
      <left/>
      <right/>
      <top/>
      <bottom style="thick">
        <color indexed="0"/>
      </bottom>
      <diagonal/>
    </border>
    <border>
      <left style="thin">
        <color indexed="0"/>
      </left>
      <right/>
      <top/>
      <bottom style="thick">
        <color indexed="0"/>
      </bottom>
      <diagonal/>
    </border>
    <border>
      <left/>
      <right style="thick">
        <color indexed="0"/>
      </right>
      <top/>
      <bottom style="thick">
        <color indexed="0"/>
      </bottom>
      <diagonal/>
    </border>
    <border>
      <left style="thin">
        <color indexed="64"/>
      </left>
      <right style="thin">
        <color indexed="0"/>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0"/>
      </bottom>
      <diagonal/>
    </border>
    <border>
      <left style="thin">
        <color indexed="64"/>
      </left>
      <right style="thin">
        <color indexed="64"/>
      </right>
      <top style="medium">
        <color indexed="64"/>
      </top>
      <bottom style="thin">
        <color indexed="0"/>
      </bottom>
      <diagonal/>
    </border>
    <border>
      <left style="thin">
        <color indexed="64"/>
      </left>
      <right style="thin">
        <color indexed="64"/>
      </right>
      <top style="thin">
        <color indexed="64"/>
      </top>
      <bottom style="thin">
        <color indexed="0"/>
      </bottom>
      <diagonal/>
    </border>
    <border>
      <left style="thin">
        <color indexed="0"/>
      </left>
      <right/>
      <top style="thin">
        <color indexed="0"/>
      </top>
      <bottom/>
      <diagonal/>
    </border>
    <border>
      <left style="thin">
        <color indexed="0"/>
      </left>
      <right style="thin">
        <color indexed="64"/>
      </right>
      <top style="thin">
        <color indexed="64"/>
      </top>
      <bottom style="thin">
        <color indexed="64"/>
      </bottom>
      <diagonal/>
    </border>
    <border>
      <left style="thin">
        <color indexed="64"/>
      </left>
      <right style="thin">
        <color indexed="64"/>
      </right>
      <top style="thick">
        <color indexed="0"/>
      </top>
      <bottom/>
      <diagonal/>
    </border>
    <border>
      <left style="thick">
        <color indexed="64"/>
      </left>
      <right/>
      <top style="thin">
        <color indexed="64"/>
      </top>
      <bottom style="thin">
        <color indexed="64"/>
      </bottom>
      <diagonal/>
    </border>
    <border>
      <left style="thin">
        <color indexed="64"/>
      </left>
      <right style="thick">
        <color indexed="0"/>
      </right>
      <top/>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theme="1"/>
      </left>
      <right style="medium">
        <color indexed="64"/>
      </right>
      <top/>
      <bottom/>
      <diagonal/>
    </border>
    <border>
      <left style="thick">
        <color indexed="0"/>
      </left>
      <right/>
      <top/>
      <bottom style="thin">
        <color indexed="64"/>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rgb="FF000000"/>
      </left>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bottom/>
      <diagonal/>
    </border>
    <border>
      <left style="double">
        <color indexed="64"/>
      </left>
      <right style="thin">
        <color indexed="64"/>
      </right>
      <top/>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s>
  <cellStyleXfs count="37">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7" fillId="0" borderId="0"/>
    <xf numFmtId="3" fontId="7" fillId="0" borderId="13" applyProtection="0"/>
    <xf numFmtId="3" fontId="1" fillId="0" borderId="13" applyProtection="0"/>
    <xf numFmtId="0" fontId="1" fillId="0" borderId="0"/>
    <xf numFmtId="9" fontId="9"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5" fillId="0" borderId="0"/>
    <xf numFmtId="44" fontId="9" fillId="0" borderId="0" applyFont="0" applyFill="0" applyBorder="0" applyAlignment="0" applyProtection="0"/>
    <xf numFmtId="164" fontId="1" fillId="0" borderId="0" applyFont="0" applyFill="0" applyBorder="0" applyAlignment="0" applyProtection="0"/>
    <xf numFmtId="0" fontId="1" fillId="0" borderId="0">
      <alignment vertical="top"/>
    </xf>
    <xf numFmtId="166" fontId="1" fillId="0" borderId="0" applyFont="0" applyFill="0" applyBorder="0" applyAlignment="0" applyProtection="0"/>
    <xf numFmtId="0" fontId="17" fillId="0" borderId="0"/>
    <xf numFmtId="0" fontId="1" fillId="0" borderId="0"/>
    <xf numFmtId="0" fontId="9" fillId="0" borderId="0"/>
    <xf numFmtId="0" fontId="1" fillId="0" borderId="0" applyProtection="0"/>
    <xf numFmtId="43" fontId="9" fillId="0" borderId="0" applyFont="0" applyFill="0" applyBorder="0" applyAlignment="0" applyProtection="0"/>
    <xf numFmtId="0" fontId="84" fillId="0" borderId="0"/>
    <xf numFmtId="0" fontId="16" fillId="0" borderId="0"/>
    <xf numFmtId="2" fontId="85" fillId="0" borderId="0"/>
    <xf numFmtId="0" fontId="1" fillId="0" borderId="0"/>
    <xf numFmtId="0" fontId="1" fillId="11" borderId="0"/>
    <xf numFmtId="4" fontId="1" fillId="0" borderId="0"/>
    <xf numFmtId="0" fontId="16" fillId="0" borderId="0"/>
    <xf numFmtId="0" fontId="1" fillId="0" borderId="0"/>
    <xf numFmtId="4" fontId="1" fillId="0" borderId="0"/>
    <xf numFmtId="177" fontId="1" fillId="0" borderId="0"/>
    <xf numFmtId="0" fontId="1" fillId="0" borderId="0"/>
    <xf numFmtId="0" fontId="16" fillId="0" borderId="0"/>
    <xf numFmtId="3" fontId="1" fillId="0" borderId="13" applyProtection="0"/>
    <xf numFmtId="4" fontId="1" fillId="0" borderId="172" applyProtection="0"/>
    <xf numFmtId="10" fontId="1" fillId="0" borderId="0"/>
    <xf numFmtId="0" fontId="1" fillId="0" borderId="0"/>
  </cellStyleXfs>
  <cellXfs count="2363">
    <xf numFmtId="0" fontId="0" fillId="0" borderId="0" xfId="0"/>
    <xf numFmtId="0" fontId="2" fillId="0" borderId="0" xfId="1" applyFont="1" applyAlignment="1">
      <alignment horizontal="center" vertical="center"/>
    </xf>
    <xf numFmtId="0" fontId="3" fillId="0" borderId="0" xfId="1" applyFont="1" applyAlignment="1">
      <alignment vertical="center"/>
    </xf>
    <xf numFmtId="0" fontId="2" fillId="0" borderId="0" xfId="1" applyFont="1" applyAlignment="1">
      <alignment vertical="center"/>
    </xf>
    <xf numFmtId="0" fontId="4" fillId="0" borderId="4" xfId="1" applyFont="1" applyBorder="1" applyAlignment="1">
      <alignment horizontal="center" vertical="center"/>
    </xf>
    <xf numFmtId="0" fontId="3" fillId="0" borderId="4" xfId="1" applyFont="1" applyBorder="1" applyAlignment="1">
      <alignment vertical="center"/>
    </xf>
    <xf numFmtId="167" fontId="3" fillId="0" borderId="4" xfId="2" applyNumberFormat="1" applyFont="1" applyBorder="1" applyAlignment="1" applyProtection="1">
      <alignment horizontal="center" vertical="center"/>
    </xf>
    <xf numFmtId="0" fontId="3" fillId="0" borderId="4" xfId="1" applyFont="1" applyBorder="1" applyAlignment="1">
      <alignment horizontal="center" vertical="center"/>
    </xf>
    <xf numFmtId="2" fontId="3" fillId="0" borderId="4" xfId="1" applyNumberFormat="1" applyFont="1" applyBorder="1" applyAlignment="1">
      <alignment horizontal="center" vertical="center"/>
    </xf>
    <xf numFmtId="0" fontId="2" fillId="0" borderId="4" xfId="1" applyFont="1" applyBorder="1" applyAlignment="1">
      <alignment horizontal="center" vertical="center"/>
    </xf>
    <xf numFmtId="0" fontId="4" fillId="2" borderId="0" xfId="1" applyFont="1" applyFill="1" applyAlignment="1">
      <alignment horizontal="left" vertical="center"/>
    </xf>
    <xf numFmtId="167" fontId="4" fillId="2" borderId="0" xfId="2" applyNumberFormat="1" applyFont="1" applyFill="1" applyBorder="1" applyAlignment="1" applyProtection="1">
      <alignment horizontal="center" vertical="center"/>
    </xf>
    <xf numFmtId="167" fontId="3" fillId="0" borderId="0" xfId="1" applyNumberFormat="1" applyFont="1" applyAlignment="1">
      <alignment horizontal="center" vertical="center"/>
    </xf>
    <xf numFmtId="0" fontId="3" fillId="0" borderId="4" xfId="1" applyFont="1" applyBorder="1" applyAlignment="1" applyProtection="1">
      <alignment horizontal="center" vertical="center"/>
      <protection locked="0"/>
    </xf>
    <xf numFmtId="2" fontId="3" fillId="0" borderId="4" xfId="1" applyNumberFormat="1" applyFont="1" applyBorder="1" applyAlignment="1" applyProtection="1">
      <alignment horizontal="center" vertical="center"/>
      <protection locked="0"/>
    </xf>
    <xf numFmtId="10" fontId="3" fillId="0" borderId="4" xfId="2" applyNumberFormat="1" applyFont="1" applyBorder="1" applyAlignment="1" applyProtection="1">
      <alignment horizontal="center" vertical="center"/>
    </xf>
    <xf numFmtId="4" fontId="3" fillId="0" borderId="4" xfId="3" applyNumberFormat="1" applyFont="1" applyBorder="1" applyAlignment="1" applyProtection="1">
      <alignment horizontal="center" vertical="center"/>
    </xf>
    <xf numFmtId="167" fontId="4" fillId="2" borderId="9" xfId="1" applyNumberFormat="1" applyFont="1" applyFill="1" applyBorder="1" applyAlignment="1">
      <alignment horizontal="center" vertical="center"/>
    </xf>
    <xf numFmtId="167" fontId="4" fillId="2" borderId="4" xfId="2" applyNumberFormat="1" applyFont="1" applyFill="1" applyBorder="1" applyAlignment="1" applyProtection="1">
      <alignment horizontal="center" vertical="center"/>
    </xf>
    <xf numFmtId="0" fontId="4" fillId="0" borderId="4" xfId="1" applyFont="1" applyBorder="1" applyAlignment="1" applyProtection="1">
      <alignment horizontal="center" vertical="center"/>
      <protection locked="0"/>
    </xf>
    <xf numFmtId="2" fontId="3" fillId="0" borderId="4" xfId="1" applyNumberFormat="1" applyFont="1" applyBorder="1" applyAlignment="1" applyProtection="1">
      <alignment horizontal="center" vertical="center" wrapText="1"/>
      <protection locked="0"/>
    </xf>
    <xf numFmtId="0" fontId="2" fillId="0" borderId="0" xfId="4" applyFont="1" applyAlignment="1">
      <alignment vertical="center"/>
    </xf>
    <xf numFmtId="0" fontId="3" fillId="0" borderId="0" xfId="4" applyFont="1" applyAlignment="1">
      <alignment vertical="center"/>
    </xf>
    <xf numFmtId="0" fontId="2" fillId="0" borderId="0" xfId="4" applyFont="1" applyAlignment="1">
      <alignment horizontal="center" vertical="center"/>
    </xf>
    <xf numFmtId="0" fontId="3" fillId="0" borderId="4" xfId="4" applyFont="1" applyBorder="1" applyAlignment="1">
      <alignment horizontal="center" vertical="center" wrapText="1"/>
    </xf>
    <xf numFmtId="0" fontId="3" fillId="0" borderId="4" xfId="4" applyFont="1" applyBorder="1" applyAlignment="1">
      <alignment horizontal="center" vertical="center"/>
    </xf>
    <xf numFmtId="0" fontId="3" fillId="0" borderId="4" xfId="4" applyFont="1" applyBorder="1" applyAlignment="1">
      <alignment vertical="center"/>
    </xf>
    <xf numFmtId="0" fontId="4" fillId="0" borderId="4" xfId="4" applyFont="1" applyBorder="1" applyAlignment="1">
      <alignment vertical="center"/>
    </xf>
    <xf numFmtId="0" fontId="3" fillId="0" borderId="4" xfId="4" applyFont="1" applyBorder="1" applyAlignment="1">
      <alignment vertical="center" wrapText="1"/>
    </xf>
    <xf numFmtId="168" fontId="3" fillId="0" borderId="4" xfId="4" applyNumberFormat="1" applyFont="1" applyBorder="1" applyAlignment="1">
      <alignment horizontal="center" vertical="center"/>
    </xf>
    <xf numFmtId="2" fontId="3" fillId="0" borderId="4" xfId="4" applyNumberFormat="1" applyFont="1" applyBorder="1" applyAlignment="1">
      <alignment horizontal="center" vertical="center"/>
    </xf>
    <xf numFmtId="0" fontId="3" fillId="0" borderId="4" xfId="4" applyFont="1" applyBorder="1" applyAlignment="1" applyProtection="1">
      <alignment horizontal="center" vertical="center" wrapText="1"/>
      <protection locked="0"/>
    </xf>
    <xf numFmtId="0" fontId="4" fillId="0" borderId="4" xfId="1" applyFont="1" applyBorder="1" applyAlignment="1">
      <alignment vertical="center" wrapText="1"/>
    </xf>
    <xf numFmtId="168" fontId="3" fillId="0" borderId="4" xfId="1" applyNumberFormat="1" applyFont="1" applyBorder="1" applyAlignment="1">
      <alignment horizontal="center" vertical="center"/>
    </xf>
    <xf numFmtId="0" fontId="3" fillId="0" borderId="4" xfId="1" applyFont="1" applyBorder="1" applyAlignment="1">
      <alignment vertical="center" wrapText="1"/>
    </xf>
    <xf numFmtId="0" fontId="3" fillId="0" borderId="0" xfId="1" applyFont="1" applyAlignment="1">
      <alignment horizontal="center" vertical="center"/>
    </xf>
    <xf numFmtId="0" fontId="4" fillId="0" borderId="4" xfId="1" applyFont="1" applyBorder="1" applyAlignment="1">
      <alignment vertical="center"/>
    </xf>
    <xf numFmtId="168" fontId="4" fillId="0" borderId="9" xfId="6" applyNumberFormat="1" applyFont="1" applyBorder="1" applyAlignment="1">
      <alignment horizontal="center" vertical="center"/>
    </xf>
    <xf numFmtId="0" fontId="2" fillId="0" borderId="0" xfId="4" applyFont="1"/>
    <xf numFmtId="169" fontId="3" fillId="0" borderId="4" xfId="1" applyNumberFormat="1" applyFont="1" applyBorder="1" applyAlignment="1">
      <alignment horizontal="center" vertical="center"/>
    </xf>
    <xf numFmtId="0" fontId="3" fillId="0" borderId="4" xfId="1" applyFont="1" applyBorder="1" applyAlignment="1">
      <alignment horizontal="center" vertical="center" wrapText="1"/>
    </xf>
    <xf numFmtId="0" fontId="3" fillId="0" borderId="0" xfId="4" applyFont="1"/>
    <xf numFmtId="1" fontId="3" fillId="0" borderId="0" xfId="4" applyNumberFormat="1" applyFont="1"/>
    <xf numFmtId="0" fontId="2" fillId="0" borderId="0" xfId="4" applyFont="1" applyAlignment="1">
      <alignment horizontal="center"/>
    </xf>
    <xf numFmtId="1" fontId="3" fillId="0" borderId="4" xfId="1" applyNumberFormat="1" applyFont="1" applyBorder="1" applyAlignment="1">
      <alignment horizontal="center" vertical="center"/>
    </xf>
    <xf numFmtId="167" fontId="3" fillId="0" borderId="4" xfId="2" applyNumberFormat="1" applyFont="1" applyFill="1" applyBorder="1" applyAlignment="1" applyProtection="1">
      <alignment horizontal="center" vertical="center"/>
    </xf>
    <xf numFmtId="1" fontId="3" fillId="0" borderId="4" xfId="7" applyNumberFormat="1" applyFont="1" applyBorder="1" applyAlignment="1">
      <alignment horizontal="center" vertical="center"/>
    </xf>
    <xf numFmtId="0" fontId="3" fillId="0" borderId="4" xfId="7" applyFont="1" applyBorder="1" applyAlignment="1">
      <alignment horizontal="center" vertical="center"/>
    </xf>
    <xf numFmtId="4" fontId="3" fillId="0" borderId="4" xfId="1" applyNumberFormat="1" applyFont="1" applyBorder="1" applyAlignment="1">
      <alignment horizontal="center" vertical="center"/>
    </xf>
    <xf numFmtId="4" fontId="3" fillId="0" borderId="4" xfId="3" applyNumberFormat="1" applyFont="1" applyFill="1" applyBorder="1" applyAlignment="1" applyProtection="1">
      <alignment horizontal="center" vertical="center"/>
    </xf>
    <xf numFmtId="4" fontId="4" fillId="2" borderId="9" xfId="1" applyNumberFormat="1" applyFont="1" applyFill="1" applyBorder="1" applyAlignment="1">
      <alignment horizontal="center" vertical="center"/>
    </xf>
    <xf numFmtId="0" fontId="4" fillId="0" borderId="4" xfId="4" applyFont="1" applyBorder="1" applyAlignment="1">
      <alignment horizontal="center" vertical="center"/>
    </xf>
    <xf numFmtId="168" fontId="3" fillId="0" borderId="0" xfId="4" applyNumberFormat="1" applyFont="1" applyAlignment="1">
      <alignment horizontal="center" vertical="center"/>
    </xf>
    <xf numFmtId="168" fontId="4" fillId="0" borderId="9" xfId="5" applyNumberFormat="1" applyFont="1" applyBorder="1" applyAlignment="1">
      <alignment horizontal="center" vertical="center"/>
    </xf>
    <xf numFmtId="0" fontId="4" fillId="0" borderId="4" xfId="4" applyFont="1" applyBorder="1" applyAlignment="1">
      <alignment vertical="center" wrapText="1"/>
    </xf>
    <xf numFmtId="0" fontId="3" fillId="0" borderId="0" xfId="4" applyFont="1" applyAlignment="1">
      <alignment horizontal="center" vertical="center"/>
    </xf>
    <xf numFmtId="0" fontId="4" fillId="0" borderId="4" xfId="4" applyFont="1" applyBorder="1" applyAlignment="1">
      <alignment horizontal="center" vertical="center" wrapText="1"/>
    </xf>
    <xf numFmtId="0" fontId="3" fillId="0" borderId="5" xfId="1" applyFont="1" applyBorder="1" applyAlignment="1">
      <alignment horizontal="center" vertical="center"/>
    </xf>
    <xf numFmtId="0" fontId="3" fillId="0" borderId="5" xfId="1" applyFont="1" applyBorder="1" applyAlignment="1">
      <alignment vertical="center" wrapText="1"/>
    </xf>
    <xf numFmtId="168" fontId="3" fillId="0" borderId="5" xfId="1" applyNumberFormat="1" applyFont="1" applyBorder="1" applyAlignment="1">
      <alignment horizontal="center" vertical="center"/>
    </xf>
    <xf numFmtId="4" fontId="3" fillId="0" borderId="5" xfId="1" applyNumberFormat="1" applyFont="1" applyBorder="1" applyAlignment="1">
      <alignment horizontal="center" vertical="center"/>
    </xf>
    <xf numFmtId="167" fontId="3" fillId="0" borderId="5" xfId="2" applyNumberFormat="1" applyFont="1" applyBorder="1" applyAlignment="1" applyProtection="1">
      <alignment horizontal="center" vertical="center"/>
    </xf>
    <xf numFmtId="0" fontId="3" fillId="0" borderId="4" xfId="0" applyFont="1" applyBorder="1" applyAlignment="1">
      <alignment wrapText="1"/>
    </xf>
    <xf numFmtId="0" fontId="3" fillId="0" borderId="4" xfId="0" applyFont="1" applyBorder="1"/>
    <xf numFmtId="0" fontId="3" fillId="0" borderId="4" xfId="0" applyFont="1" applyBorder="1" applyProtection="1">
      <protection locked="0"/>
    </xf>
    <xf numFmtId="0" fontId="5" fillId="0" borderId="4" xfId="1" applyFont="1" applyBorder="1" applyAlignment="1" applyProtection="1">
      <alignment vertical="center" wrapText="1"/>
      <protection locked="0"/>
    </xf>
    <xf numFmtId="0" fontId="4" fillId="0" borderId="4" xfId="1" applyFont="1" applyBorder="1" applyAlignment="1" applyProtection="1">
      <alignment vertical="center"/>
      <protection locked="0"/>
    </xf>
    <xf numFmtId="169" fontId="3" fillId="0" borderId="4" xfId="4" applyNumberFormat="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vertical="center"/>
    </xf>
    <xf numFmtId="0" fontId="11" fillId="0" borderId="4" xfId="1" applyFont="1" applyBorder="1" applyAlignment="1">
      <alignment horizontal="center" vertical="center"/>
    </xf>
    <xf numFmtId="0" fontId="12" fillId="0" borderId="4" xfId="1" applyFont="1" applyBorder="1" applyAlignment="1">
      <alignment horizontal="center" vertical="center"/>
    </xf>
    <xf numFmtId="0" fontId="10" fillId="0" borderId="4" xfId="1" applyFont="1" applyBorder="1" applyAlignment="1">
      <alignment horizontal="center" vertical="center"/>
    </xf>
    <xf numFmtId="0" fontId="11" fillId="2" borderId="0" xfId="1" applyFont="1" applyFill="1" applyAlignment="1">
      <alignment horizontal="left" vertical="center"/>
    </xf>
    <xf numFmtId="0" fontId="12" fillId="0" borderId="5" xfId="1" applyFont="1" applyBorder="1" applyAlignment="1">
      <alignment horizontal="center" vertical="center"/>
    </xf>
    <xf numFmtId="0" fontId="12" fillId="0" borderId="4" xfId="1" applyFont="1" applyBorder="1" applyAlignment="1" applyProtection="1">
      <alignment horizontal="center" vertical="center"/>
      <protection locked="0"/>
    </xf>
    <xf numFmtId="0" fontId="3" fillId="0" borderId="4" xfId="0" applyFont="1" applyBorder="1" applyAlignment="1">
      <alignment horizontal="center" vertical="center"/>
    </xf>
    <xf numFmtId="4" fontId="3" fillId="0" borderId="4" xfId="0" quotePrefix="1" applyNumberFormat="1" applyFont="1" applyBorder="1" applyAlignment="1">
      <alignment horizontal="center" vertical="center"/>
    </xf>
    <xf numFmtId="9" fontId="3" fillId="0" borderId="4" xfId="3" applyFont="1" applyBorder="1" applyAlignment="1" applyProtection="1">
      <alignment horizontal="center" vertical="center"/>
      <protection locked="0"/>
    </xf>
    <xf numFmtId="4" fontId="3" fillId="0" borderId="4" xfId="0" applyNumberFormat="1" applyFont="1" applyBorder="1" applyAlignment="1">
      <alignment horizontal="center" vertical="center"/>
    </xf>
    <xf numFmtId="0" fontId="3" fillId="0" borderId="4" xfId="0" applyFont="1" applyBorder="1" applyAlignment="1" applyProtection="1">
      <alignment horizontal="center" vertical="center"/>
      <protection locked="0"/>
    </xf>
    <xf numFmtId="4" fontId="3" fillId="0" borderId="4" xfId="0" applyNumberFormat="1" applyFont="1" applyBorder="1" applyAlignment="1" applyProtection="1">
      <alignment horizontal="center" vertical="center"/>
      <protection locked="0"/>
    </xf>
    <xf numFmtId="4" fontId="3" fillId="0" borderId="0" xfId="1" applyNumberFormat="1" applyFont="1" applyAlignment="1">
      <alignment horizontal="center" vertical="center"/>
    </xf>
    <xf numFmtId="168" fontId="3" fillId="0" borderId="5" xfId="2" applyNumberFormat="1" applyFont="1" applyBorder="1" applyAlignment="1" applyProtection="1">
      <alignment horizontal="center" vertical="center"/>
    </xf>
    <xf numFmtId="168" fontId="3" fillId="0" borderId="4" xfId="0" applyNumberFormat="1" applyFont="1" applyBorder="1" applyAlignment="1">
      <alignment horizontal="center" vertical="center"/>
    </xf>
    <xf numFmtId="168" fontId="4" fillId="0" borderId="0" xfId="1" applyNumberFormat="1" applyFont="1" applyAlignment="1">
      <alignment horizontal="center" vertical="center"/>
    </xf>
    <xf numFmtId="168" fontId="3" fillId="0" borderId="4" xfId="6" applyNumberFormat="1" applyFont="1" applyBorder="1" applyAlignment="1">
      <alignment horizontal="center" vertical="center"/>
    </xf>
    <xf numFmtId="2" fontId="3" fillId="0" borderId="4" xfId="2" applyNumberFormat="1" applyFont="1" applyBorder="1" applyAlignment="1" applyProtection="1">
      <alignment horizontal="center" vertical="center"/>
    </xf>
    <xf numFmtId="2" fontId="3" fillId="0" borderId="0" xfId="1" applyNumberFormat="1" applyFont="1" applyAlignment="1">
      <alignment horizontal="center" vertical="center"/>
    </xf>
    <xf numFmtId="2" fontId="2" fillId="0" borderId="0" xfId="1" applyNumberFormat="1" applyFont="1" applyAlignment="1">
      <alignment horizontal="center" vertical="center"/>
    </xf>
    <xf numFmtId="2" fontId="3" fillId="0" borderId="5" xfId="1"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4" xfId="9" applyNumberFormat="1" applyFont="1" applyBorder="1" applyAlignment="1">
      <alignment horizontal="center" vertical="center"/>
    </xf>
    <xf numFmtId="2" fontId="3" fillId="0" borderId="4" xfId="0" applyNumberFormat="1" applyFont="1" applyBorder="1" applyAlignment="1" applyProtection="1">
      <alignment horizontal="center" vertical="center"/>
      <protection locked="0"/>
    </xf>
    <xf numFmtId="2" fontId="3" fillId="0" borderId="4" xfId="3" applyNumberFormat="1" applyFont="1" applyBorder="1" applyAlignment="1" applyProtection="1">
      <alignment horizontal="center" vertical="center"/>
      <protection locked="0"/>
    </xf>
    <xf numFmtId="2" fontId="3" fillId="0" borderId="4" xfId="0" quotePrefix="1" applyNumberFormat="1" applyFont="1" applyBorder="1" applyAlignment="1">
      <alignment horizontal="center" vertical="center"/>
    </xf>
    <xf numFmtId="2" fontId="3" fillId="0" borderId="4" xfId="3" applyNumberFormat="1" applyFont="1" applyBorder="1" applyAlignment="1" applyProtection="1">
      <alignment horizontal="center" vertical="center"/>
    </xf>
    <xf numFmtId="2" fontId="3" fillId="0" borderId="4" xfId="3" applyNumberFormat="1" applyFont="1" applyFill="1" applyBorder="1" applyAlignment="1" applyProtection="1">
      <alignment horizontal="center" vertical="center"/>
    </xf>
    <xf numFmtId="4" fontId="2" fillId="0" borderId="0" xfId="1" applyNumberFormat="1" applyFont="1" applyAlignment="1">
      <alignment horizontal="center" vertical="center"/>
    </xf>
    <xf numFmtId="0" fontId="14" fillId="0" borderId="0" xfId="0" applyFont="1"/>
    <xf numFmtId="0" fontId="14" fillId="0" borderId="0" xfId="0" applyFont="1" applyAlignment="1">
      <alignment horizontal="center"/>
    </xf>
    <xf numFmtId="2" fontId="14" fillId="0" borderId="0" xfId="0" applyNumberFormat="1" applyFont="1" applyAlignment="1">
      <alignment horizontal="center" vertical="center"/>
    </xf>
    <xf numFmtId="168" fontId="4" fillId="0" borderId="7" xfId="6" applyNumberFormat="1" applyFont="1" applyBorder="1" applyAlignment="1">
      <alignment horizontal="center" vertical="center"/>
    </xf>
    <xf numFmtId="168" fontId="3" fillId="0" borderId="21" xfId="1" applyNumberFormat="1" applyFont="1" applyBorder="1" applyAlignment="1">
      <alignment horizontal="center" vertical="center"/>
    </xf>
    <xf numFmtId="168" fontId="3" fillId="0" borderId="22" xfId="1" applyNumberFormat="1" applyFont="1" applyBorder="1" applyAlignment="1">
      <alignment horizontal="center" vertical="center"/>
    </xf>
    <xf numFmtId="4" fontId="3" fillId="0" borderId="21" xfId="1" applyNumberFormat="1" applyFont="1" applyBorder="1" applyAlignment="1">
      <alignment horizontal="center" vertical="center"/>
    </xf>
    <xf numFmtId="4" fontId="3" fillId="0" borderId="22" xfId="1" applyNumberFormat="1" applyFont="1" applyBorder="1" applyAlignment="1">
      <alignment horizontal="center" vertical="center"/>
    </xf>
    <xf numFmtId="2" fontId="3" fillId="0" borderId="21" xfId="1" applyNumberFormat="1" applyFont="1" applyBorder="1" applyAlignment="1">
      <alignment horizontal="center" vertical="center"/>
    </xf>
    <xf numFmtId="2" fontId="3" fillId="0" borderId="21" xfId="0" applyNumberFormat="1" applyFont="1" applyBorder="1" applyAlignment="1">
      <alignment horizontal="center" vertical="center"/>
    </xf>
    <xf numFmtId="2" fontId="3" fillId="0" borderId="22" xfId="1" applyNumberFormat="1" applyFont="1" applyBorder="1" applyAlignment="1">
      <alignment horizontal="center" vertical="center"/>
    </xf>
    <xf numFmtId="0" fontId="3" fillId="0" borderId="21" xfId="1" applyFont="1" applyBorder="1" applyAlignment="1">
      <alignment horizontal="center" vertical="center"/>
    </xf>
    <xf numFmtId="0" fontId="3" fillId="0" borderId="21" xfId="0" applyFont="1" applyBorder="1" applyAlignment="1">
      <alignment horizontal="center" vertical="center" wrapText="1"/>
    </xf>
    <xf numFmtId="0" fontId="3" fillId="0" borderId="21" xfId="4" applyFont="1" applyBorder="1" applyAlignment="1">
      <alignment horizontal="center" vertical="center"/>
    </xf>
    <xf numFmtId="0" fontId="3" fillId="0" borderId="22" xfId="1" applyFont="1" applyBorder="1" applyAlignment="1">
      <alignment horizontal="center" vertical="center"/>
    </xf>
    <xf numFmtId="0" fontId="3" fillId="0" borderId="20" xfId="1" applyFont="1" applyBorder="1" applyAlignment="1">
      <alignment horizontal="center" vertical="center"/>
    </xf>
    <xf numFmtId="169" fontId="3" fillId="0" borderId="21" xfId="1" applyNumberFormat="1" applyFont="1" applyBorder="1" applyAlignment="1">
      <alignment horizontal="center" vertical="center"/>
    </xf>
    <xf numFmtId="1" fontId="3" fillId="0" borderId="21" xfId="1"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20" xfId="1" applyNumberFormat="1" applyFont="1" applyBorder="1" applyAlignment="1">
      <alignment horizontal="center" vertical="center"/>
    </xf>
    <xf numFmtId="2" fontId="3" fillId="0" borderId="20" xfId="1" applyNumberFormat="1" applyFont="1" applyBorder="1" applyAlignment="1">
      <alignment horizontal="center" vertical="center"/>
    </xf>
    <xf numFmtId="4" fontId="4" fillId="2" borderId="7" xfId="1" applyNumberFormat="1" applyFont="1" applyFill="1" applyBorder="1" applyAlignment="1">
      <alignment horizontal="center" vertical="center"/>
    </xf>
    <xf numFmtId="0" fontId="3" fillId="0" borderId="21" xfId="0" applyFont="1" applyBorder="1"/>
    <xf numFmtId="0" fontId="3" fillId="0" borderId="21" xfId="0" applyFont="1" applyBorder="1" applyAlignment="1">
      <alignment horizontal="center"/>
    </xf>
    <xf numFmtId="4" fontId="3" fillId="0" borderId="21" xfId="0" applyNumberFormat="1" applyFont="1" applyBorder="1" applyAlignment="1">
      <alignment horizontal="center"/>
    </xf>
    <xf numFmtId="0" fontId="14" fillId="0" borderId="21" xfId="0" applyFont="1" applyBorder="1" applyAlignment="1">
      <alignment horizontal="center"/>
    </xf>
    <xf numFmtId="167" fontId="4" fillId="2" borderId="5" xfId="2" applyNumberFormat="1" applyFont="1" applyFill="1" applyBorder="1" applyAlignment="1" applyProtection="1">
      <alignment horizontal="center" vertical="center"/>
    </xf>
    <xf numFmtId="167" fontId="4" fillId="2" borderId="9" xfId="2" applyNumberFormat="1" applyFont="1" applyFill="1" applyBorder="1" applyAlignment="1" applyProtection="1">
      <alignment horizontal="center" vertical="center"/>
    </xf>
    <xf numFmtId="0" fontId="4" fillId="2" borderId="5"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5" xfId="4" applyFont="1" applyFill="1" applyBorder="1" applyAlignment="1">
      <alignment horizontal="center" vertical="center"/>
    </xf>
    <xf numFmtId="0" fontId="2" fillId="0" borderId="0" xfId="1" applyFont="1" applyAlignment="1">
      <alignment horizontal="left" vertical="center"/>
    </xf>
    <xf numFmtId="0" fontId="4" fillId="2" borderId="5" xfId="1" applyFont="1" applyFill="1" applyBorder="1" applyAlignment="1">
      <alignment horizontal="left" vertical="center"/>
    </xf>
    <xf numFmtId="0" fontId="4" fillId="0" borderId="21" xfId="1" applyFont="1" applyBorder="1" applyAlignment="1">
      <alignment horizontal="center" vertical="center"/>
    </xf>
    <xf numFmtId="0" fontId="3" fillId="0" borderId="0" xfId="4" applyFont="1" applyAlignment="1">
      <alignment horizontal="left"/>
    </xf>
    <xf numFmtId="0" fontId="3" fillId="0" borderId="21" xfId="1" applyFont="1" applyBorder="1" applyAlignment="1">
      <alignment vertical="center"/>
    </xf>
    <xf numFmtId="0" fontId="3" fillId="0" borderId="0" xfId="1" applyFont="1" applyAlignment="1">
      <alignment horizontal="left" vertical="center"/>
    </xf>
    <xf numFmtId="0" fontId="3" fillId="0" borderId="4" xfId="0" applyFont="1" applyBorder="1" applyAlignment="1">
      <alignment horizontal="center"/>
    </xf>
    <xf numFmtId="4" fontId="3" fillId="0" borderId="4" xfId="0" applyNumberFormat="1" applyFont="1" applyBorder="1" applyAlignment="1">
      <alignment horizontal="center"/>
    </xf>
    <xf numFmtId="2" fontId="3" fillId="0" borderId="4" xfId="0" applyNumberFormat="1" applyFont="1" applyBorder="1" applyAlignment="1">
      <alignment horizontal="center"/>
    </xf>
    <xf numFmtId="0" fontId="3" fillId="0" borderId="4" xfId="0" applyFont="1" applyBorder="1" applyAlignment="1">
      <alignment horizontal="center" vertical="center" wrapText="1"/>
    </xf>
    <xf numFmtId="0" fontId="13" fillId="0" borderId="4" xfId="0" applyFont="1" applyBorder="1"/>
    <xf numFmtId="0" fontId="3" fillId="0" borderId="7" xfId="1" applyFont="1" applyBorder="1" applyAlignment="1">
      <alignment horizontal="center" vertical="center"/>
    </xf>
    <xf numFmtId="0" fontId="3" fillId="0" borderId="7" xfId="0" applyFont="1" applyBorder="1"/>
    <xf numFmtId="2" fontId="3" fillId="0" borderId="7" xfId="1" applyNumberFormat="1" applyFont="1" applyBorder="1" applyAlignment="1">
      <alignment horizontal="center" vertical="center"/>
    </xf>
    <xf numFmtId="4" fontId="3" fillId="0" borderId="7" xfId="1" applyNumberFormat="1" applyFont="1" applyBorder="1" applyAlignment="1">
      <alignment horizontal="center" vertical="center"/>
    </xf>
    <xf numFmtId="168" fontId="3" fillId="0" borderId="7" xfId="1" applyNumberFormat="1" applyFont="1" applyBorder="1" applyAlignment="1">
      <alignment horizontal="center" vertical="center"/>
    </xf>
    <xf numFmtId="0" fontId="12" fillId="0" borderId="7" xfId="1" applyFont="1" applyBorder="1" applyAlignment="1">
      <alignment horizontal="center" vertical="center"/>
    </xf>
    <xf numFmtId="0" fontId="3" fillId="0" borderId="7" xfId="1" applyFont="1" applyBorder="1" applyAlignment="1">
      <alignment vertical="center"/>
    </xf>
    <xf numFmtId="168" fontId="3" fillId="0" borderId="7" xfId="6" applyNumberFormat="1" applyFont="1" applyBorder="1" applyAlignment="1">
      <alignment horizontal="center" vertical="center"/>
    </xf>
    <xf numFmtId="0" fontId="3" fillId="0" borderId="20" xfId="1" applyFont="1" applyBorder="1" applyAlignment="1">
      <alignment vertical="center" wrapText="1"/>
    </xf>
    <xf numFmtId="168" fontId="3" fillId="0" borderId="20" xfId="1" applyNumberFormat="1" applyFont="1" applyBorder="1" applyAlignment="1">
      <alignment horizontal="center" vertical="center"/>
    </xf>
    <xf numFmtId="0" fontId="4" fillId="0" borderId="21" xfId="1" applyFont="1" applyBorder="1" applyAlignment="1">
      <alignment vertical="center"/>
    </xf>
    <xf numFmtId="0" fontId="14" fillId="0" borderId="21" xfId="0" applyFont="1" applyBorder="1"/>
    <xf numFmtId="0" fontId="3" fillId="0" borderId="22" xfId="0" applyFont="1" applyBorder="1"/>
    <xf numFmtId="167" fontId="4" fillId="2" borderId="7" xfId="1" applyNumberFormat="1" applyFont="1" applyFill="1" applyBorder="1" applyAlignment="1">
      <alignment horizontal="center" vertical="center"/>
    </xf>
    <xf numFmtId="0" fontId="3" fillId="0" borderId="21" xfId="0" applyFont="1" applyBorder="1" applyAlignment="1">
      <alignment wrapText="1"/>
    </xf>
    <xf numFmtId="0" fontId="3" fillId="0" borderId="21" xfId="0" applyFont="1" applyBorder="1" applyAlignment="1">
      <alignment horizontal="center" vertical="center"/>
    </xf>
    <xf numFmtId="0" fontId="4" fillId="0" borderId="4" xfId="11" applyFont="1" applyBorder="1" applyAlignment="1">
      <alignment horizontal="center"/>
    </xf>
    <xf numFmtId="0" fontId="2" fillId="0" borderId="4" xfId="11" applyFont="1" applyBorder="1" applyAlignment="1">
      <alignment wrapText="1"/>
    </xf>
    <xf numFmtId="0" fontId="3" fillId="0" borderId="4" xfId="11" applyFont="1" applyBorder="1" applyAlignment="1">
      <alignment horizontal="center" vertical="center"/>
    </xf>
    <xf numFmtId="0" fontId="3" fillId="0" borderId="4" xfId="11" applyFont="1" applyBorder="1" applyAlignment="1">
      <alignment horizontal="center"/>
    </xf>
    <xf numFmtId="0" fontId="4" fillId="0" borderId="4" xfId="11" applyFont="1" applyBorder="1" applyAlignment="1">
      <alignment wrapText="1"/>
    </xf>
    <xf numFmtId="0" fontId="3" fillId="0" borderId="4" xfId="11" applyFont="1" applyBorder="1" applyAlignment="1">
      <alignment wrapText="1"/>
    </xf>
    <xf numFmtId="169" fontId="3" fillId="0" borderId="4" xfId="11" applyNumberFormat="1" applyFont="1" applyBorder="1" applyAlignment="1">
      <alignment horizontal="center"/>
    </xf>
    <xf numFmtId="0" fontId="4" fillId="0" borderId="21" xfId="0" applyFont="1" applyBorder="1" applyAlignment="1">
      <alignment horizontal="center"/>
    </xf>
    <xf numFmtId="0" fontId="2" fillId="0" borderId="21" xfId="0" applyFont="1" applyBorder="1" applyAlignment="1">
      <alignment wrapText="1"/>
    </xf>
    <xf numFmtId="0" fontId="4" fillId="0" borderId="21" xfId="0" applyFont="1" applyBorder="1" applyAlignment="1">
      <alignment wrapText="1"/>
    </xf>
    <xf numFmtId="169" fontId="3" fillId="0" borderId="21" xfId="0" applyNumberFormat="1" applyFont="1" applyBorder="1" applyAlignment="1">
      <alignment horizontal="center"/>
    </xf>
    <xf numFmtId="0" fontId="3" fillId="0" borderId="21" xfId="1" applyFont="1" applyBorder="1" applyAlignment="1">
      <alignment vertical="center" wrapText="1"/>
    </xf>
    <xf numFmtId="0" fontId="4" fillId="0" borderId="4" xfId="0" applyFont="1" applyBorder="1" applyAlignment="1">
      <alignment horizontal="center"/>
    </xf>
    <xf numFmtId="0" fontId="2" fillId="0" borderId="4" xfId="0" applyFont="1" applyBorder="1" applyAlignment="1">
      <alignment wrapText="1"/>
    </xf>
    <xf numFmtId="0" fontId="4" fillId="0" borderId="4" xfId="0" applyFont="1" applyBorder="1" applyAlignment="1">
      <alignment wrapText="1"/>
    </xf>
    <xf numFmtId="169" fontId="3" fillId="0" borderId="4" xfId="0" applyNumberFormat="1" applyFont="1" applyBorder="1" applyAlignment="1">
      <alignment horizontal="center"/>
    </xf>
    <xf numFmtId="4" fontId="16" fillId="0" borderId="0" xfId="0" applyNumberFormat="1" applyFont="1"/>
    <xf numFmtId="4" fontId="16" fillId="0" borderId="0" xfId="0" applyNumberFormat="1" applyFont="1" applyAlignment="1">
      <alignment horizontal="center"/>
    </xf>
    <xf numFmtId="168" fontId="4" fillId="0" borderId="0" xfId="4" applyNumberFormat="1" applyFont="1" applyAlignment="1">
      <alignment horizontal="right" vertical="center"/>
    </xf>
    <xf numFmtId="168" fontId="3" fillId="0" borderId="0" xfId="4" applyNumberFormat="1" applyFont="1" applyAlignment="1">
      <alignment vertical="center"/>
    </xf>
    <xf numFmtId="0" fontId="4" fillId="2" borderId="4" xfId="1" applyFont="1" applyFill="1" applyBorder="1" applyAlignment="1">
      <alignment horizontal="left" vertical="center"/>
    </xf>
    <xf numFmtId="0" fontId="3" fillId="0" borderId="4" xfId="0" applyFont="1" applyBorder="1" applyAlignment="1">
      <alignment vertical="center" wrapText="1"/>
    </xf>
    <xf numFmtId="168" fontId="4" fillId="2" borderId="5" xfId="2" applyNumberFormat="1" applyFont="1" applyFill="1" applyBorder="1" applyAlignment="1" applyProtection="1">
      <alignment horizontal="center" vertical="center"/>
    </xf>
    <xf numFmtId="167" fontId="3" fillId="0" borderId="7" xfId="2" applyNumberFormat="1" applyFont="1" applyBorder="1" applyAlignment="1" applyProtection="1">
      <alignment horizontal="center" vertical="center"/>
    </xf>
    <xf numFmtId="0" fontId="14" fillId="0" borderId="5" xfId="0" applyFont="1" applyBorder="1"/>
    <xf numFmtId="0" fontId="14" fillId="0" borderId="4" xfId="0" applyFont="1" applyBorder="1"/>
    <xf numFmtId="0" fontId="3" fillId="0" borderId="5" xfId="4" applyFont="1" applyBorder="1" applyAlignment="1">
      <alignment vertic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8" xfId="0" applyFont="1" applyBorder="1"/>
    <xf numFmtId="0" fontId="4" fillId="0" borderId="29" xfId="0" applyFont="1" applyBorder="1" applyAlignment="1">
      <alignment horizontal="center"/>
    </xf>
    <xf numFmtId="167" fontId="4" fillId="2" borderId="11" xfId="1" applyNumberFormat="1" applyFont="1" applyFill="1" applyBorder="1" applyAlignment="1">
      <alignment horizontal="center" vertical="center"/>
    </xf>
    <xf numFmtId="167" fontId="4" fillId="2" borderId="11" xfId="2" applyNumberFormat="1" applyFont="1" applyFill="1" applyBorder="1" applyAlignment="1" applyProtection="1">
      <alignment horizontal="center" vertical="center"/>
    </xf>
    <xf numFmtId="168" fontId="4" fillId="0" borderId="10" xfId="5" applyNumberFormat="1" applyFont="1" applyBorder="1" applyAlignment="1">
      <alignment horizontal="center" vertical="center"/>
    </xf>
    <xf numFmtId="168" fontId="4" fillId="0" borderId="11" xfId="5" applyNumberFormat="1" applyFont="1" applyBorder="1" applyAlignment="1">
      <alignment horizontal="center" vertical="center"/>
    </xf>
    <xf numFmtId="168" fontId="4" fillId="0" borderId="11" xfId="6" applyNumberFormat="1" applyFont="1" applyBorder="1" applyAlignment="1">
      <alignment horizontal="center" vertical="center"/>
    </xf>
    <xf numFmtId="168" fontId="4" fillId="0" borderId="10" xfId="6" applyNumberFormat="1" applyFont="1" applyBorder="1" applyAlignment="1">
      <alignment horizontal="center" vertical="center"/>
    </xf>
    <xf numFmtId="0" fontId="3" fillId="0" borderId="4" xfId="4" applyFont="1" applyBorder="1"/>
    <xf numFmtId="44" fontId="3" fillId="0" borderId="4" xfId="12" applyFont="1" applyBorder="1" applyAlignment="1">
      <alignment horizontal="right"/>
    </xf>
    <xf numFmtId="4" fontId="3" fillId="0" borderId="4" xfId="4" applyNumberFormat="1" applyFont="1" applyBorder="1"/>
    <xf numFmtId="44" fontId="4" fillId="0" borderId="9" xfId="12" applyFont="1" applyBorder="1" applyAlignment="1">
      <alignment horizontal="right"/>
    </xf>
    <xf numFmtId="0" fontId="3" fillId="0" borderId="7" xfId="4" applyFont="1" applyBorder="1"/>
    <xf numFmtId="0" fontId="2" fillId="0" borderId="34" xfId="0" applyFont="1" applyBorder="1" applyAlignment="1">
      <alignment horizontal="center"/>
    </xf>
    <xf numFmtId="4" fontId="3" fillId="0" borderId="4" xfId="6" applyNumberFormat="1" applyFont="1" applyBorder="1" applyAlignment="1">
      <alignment horizontal="center" vertical="center"/>
    </xf>
    <xf numFmtId="0" fontId="23" fillId="0" borderId="0" xfId="1" applyFont="1"/>
    <xf numFmtId="0" fontId="24" fillId="0" borderId="0" xfId="1" applyFont="1"/>
    <xf numFmtId="0" fontId="1" fillId="0" borderId="0" xfId="1" applyAlignment="1">
      <alignment horizontal="right"/>
    </xf>
    <xf numFmtId="0" fontId="1" fillId="0" borderId="0" xfId="1"/>
    <xf numFmtId="0" fontId="27" fillId="0" borderId="0" xfId="1" applyFont="1" applyAlignment="1">
      <alignment horizontal="centerContinuous"/>
    </xf>
    <xf numFmtId="0" fontId="23" fillId="0" borderId="0" xfId="1" applyFont="1" applyAlignment="1">
      <alignment horizontal="centerContinuous"/>
    </xf>
    <xf numFmtId="0" fontId="26" fillId="0" borderId="0" xfId="1" applyFont="1" applyAlignment="1">
      <alignment horizontal="left"/>
    </xf>
    <xf numFmtId="0" fontId="28" fillId="0" borderId="0" xfId="1" applyFont="1" applyAlignment="1">
      <alignment vertical="center"/>
    </xf>
    <xf numFmtId="0" fontId="29" fillId="0" borderId="0" xfId="1" applyFont="1"/>
    <xf numFmtId="0" fontId="29" fillId="3" borderId="35" xfId="1" applyFont="1" applyFill="1" applyBorder="1" applyProtection="1">
      <protection locked="0"/>
    </xf>
    <xf numFmtId="0" fontId="30" fillId="3" borderId="35" xfId="1" applyFont="1" applyFill="1" applyBorder="1" applyProtection="1">
      <protection locked="0"/>
    </xf>
    <xf numFmtId="0" fontId="25" fillId="0" borderId="0" xfId="1" applyFont="1"/>
    <xf numFmtId="0" fontId="31" fillId="0" borderId="0" xfId="1" applyFont="1" applyAlignment="1">
      <alignment horizontal="right" vertical="center"/>
    </xf>
    <xf numFmtId="0" fontId="21" fillId="4" borderId="36" xfId="1" applyFont="1" applyFill="1" applyBorder="1" applyAlignment="1" applyProtection="1">
      <alignment vertical="center"/>
      <protection locked="0"/>
    </xf>
    <xf numFmtId="0" fontId="21" fillId="4" borderId="0" xfId="1" applyFont="1" applyFill="1" applyAlignment="1">
      <alignment vertical="center"/>
    </xf>
    <xf numFmtId="0" fontId="21" fillId="4" borderId="36" xfId="1" applyFont="1" applyFill="1" applyBorder="1" applyAlignment="1" applyProtection="1">
      <alignment horizontal="center" vertical="center"/>
      <protection locked="0"/>
    </xf>
    <xf numFmtId="0" fontId="1" fillId="0" borderId="0" xfId="1" applyAlignment="1">
      <alignment vertical="center"/>
    </xf>
    <xf numFmtId="0" fontId="32" fillId="4" borderId="0" xfId="1" applyFont="1" applyFill="1" applyProtection="1">
      <protection locked="0"/>
    </xf>
    <xf numFmtId="0" fontId="1" fillId="4" borderId="36" xfId="1" applyFill="1" applyBorder="1" applyAlignment="1" applyProtection="1">
      <alignment vertical="center"/>
      <protection locked="0"/>
    </xf>
    <xf numFmtId="0" fontId="28" fillId="0" borderId="0" xfId="1" applyFont="1"/>
    <xf numFmtId="0" fontId="29" fillId="0" borderId="0" xfId="1" applyFont="1" applyProtection="1">
      <protection locked="0"/>
    </xf>
    <xf numFmtId="0" fontId="30" fillId="0" borderId="0" xfId="1" applyFont="1" applyProtection="1">
      <protection locked="0"/>
    </xf>
    <xf numFmtId="0" fontId="1" fillId="0" borderId="0" xfId="1" applyAlignment="1" applyProtection="1">
      <alignment vertical="center"/>
      <protection locked="0"/>
    </xf>
    <xf numFmtId="0" fontId="33" fillId="0" borderId="6" xfId="1" quotePrefix="1" applyFont="1" applyBorder="1" applyAlignment="1">
      <alignment vertical="center"/>
    </xf>
    <xf numFmtId="0" fontId="34" fillId="0" borderId="14" xfId="1" applyFont="1" applyBorder="1"/>
    <xf numFmtId="0" fontId="33" fillId="0" borderId="32" xfId="1" applyFont="1" applyBorder="1" applyAlignment="1">
      <alignment vertical="center"/>
    </xf>
    <xf numFmtId="0" fontId="34" fillId="0" borderId="15" xfId="1" applyFont="1" applyBorder="1"/>
    <xf numFmtId="0" fontId="31" fillId="0" borderId="37" xfId="1" applyFont="1" applyBorder="1" applyAlignment="1">
      <alignment horizontal="right" vertical="center"/>
    </xf>
    <xf numFmtId="0" fontId="1" fillId="0" borderId="37" xfId="1" applyBorder="1" applyAlignment="1">
      <alignment vertical="center"/>
    </xf>
    <xf numFmtId="0" fontId="34" fillId="0" borderId="2" xfId="1" applyFont="1" applyBorder="1" applyAlignment="1">
      <alignment vertical="center"/>
    </xf>
    <xf numFmtId="0" fontId="34" fillId="0" borderId="0" xfId="1" applyFont="1"/>
    <xf numFmtId="0" fontId="34" fillId="0" borderId="38" xfId="1" applyFont="1" applyBorder="1" applyAlignment="1">
      <alignment vertical="center"/>
    </xf>
    <xf numFmtId="0" fontId="34" fillId="0" borderId="12" xfId="1" applyFont="1" applyBorder="1"/>
    <xf numFmtId="0" fontId="21" fillId="0" borderId="0" xfId="1" applyFont="1" applyAlignment="1">
      <alignment horizontal="right" vertical="center"/>
    </xf>
    <xf numFmtId="0" fontId="31" fillId="0" borderId="39" xfId="1" applyFont="1" applyBorder="1" applyAlignment="1">
      <alignment vertical="center"/>
    </xf>
    <xf numFmtId="0" fontId="35" fillId="0" borderId="39" xfId="1" applyFont="1" applyBorder="1" applyAlignment="1">
      <alignment vertical="center"/>
    </xf>
    <xf numFmtId="0" fontId="35" fillId="0" borderId="0" xfId="1" applyFont="1" applyAlignment="1">
      <alignment vertical="center"/>
    </xf>
    <xf numFmtId="168" fontId="35" fillId="0" borderId="23" xfId="1" applyNumberFormat="1" applyFont="1" applyBorder="1" applyAlignment="1">
      <alignment horizontal="center" vertical="center"/>
    </xf>
    <xf numFmtId="0" fontId="34" fillId="0" borderId="38" xfId="1" applyFont="1" applyBorder="1" applyAlignment="1" applyProtection="1">
      <alignment vertical="center"/>
      <protection locked="0"/>
    </xf>
    <xf numFmtId="0" fontId="34" fillId="0" borderId="0" xfId="1" applyFont="1" applyProtection="1">
      <protection locked="0"/>
    </xf>
    <xf numFmtId="0" fontId="34" fillId="0" borderId="12" xfId="1" applyFont="1" applyBorder="1" applyProtection="1">
      <protection locked="0"/>
    </xf>
    <xf numFmtId="0" fontId="1" fillId="0" borderId="0" xfId="1" applyAlignment="1">
      <alignment horizontal="right" vertical="center"/>
    </xf>
    <xf numFmtId="0" fontId="35" fillId="0" borderId="0" xfId="1" applyFont="1" applyAlignment="1">
      <alignment horizontal="right" vertical="center"/>
    </xf>
    <xf numFmtId="168" fontId="35" fillId="0" borderId="19" xfId="1" applyNumberFormat="1" applyFont="1" applyBorder="1" applyAlignment="1">
      <alignment horizontal="center" vertical="center"/>
    </xf>
    <xf numFmtId="0" fontId="33" fillId="0" borderId="38" xfId="1" applyFont="1" applyBorder="1" applyAlignment="1">
      <alignment vertical="center"/>
    </xf>
    <xf numFmtId="168" fontId="35" fillId="0" borderId="24" xfId="1" applyNumberFormat="1" applyFont="1" applyBorder="1" applyAlignment="1">
      <alignment horizontal="center" vertical="center"/>
    </xf>
    <xf numFmtId="0" fontId="31" fillId="0" borderId="0" xfId="1" applyFont="1" applyAlignment="1">
      <alignment vertical="center"/>
    </xf>
    <xf numFmtId="0" fontId="33" fillId="0" borderId="0" xfId="1" applyFont="1" applyAlignment="1" applyProtection="1">
      <alignment horizontal="center" vertical="center"/>
      <protection locked="0"/>
    </xf>
    <xf numFmtId="0" fontId="37" fillId="0" borderId="0" xfId="1" applyFont="1" applyProtection="1">
      <protection locked="0"/>
    </xf>
    <xf numFmtId="0" fontId="34" fillId="0" borderId="2" xfId="1" applyFont="1" applyBorder="1" applyAlignment="1" applyProtection="1">
      <alignment vertical="center"/>
      <protection locked="0"/>
    </xf>
    <xf numFmtId="0" fontId="1" fillId="0" borderId="0" xfId="1" applyProtection="1">
      <protection locked="0"/>
    </xf>
    <xf numFmtId="0" fontId="31" fillId="0" borderId="0" xfId="1" applyFont="1" applyAlignment="1">
      <alignment horizontal="center" vertical="center"/>
    </xf>
    <xf numFmtId="168" fontId="31" fillId="0" borderId="9" xfId="1" applyNumberFormat="1" applyFont="1" applyBorder="1" applyAlignment="1">
      <alignment horizontal="center" vertical="center"/>
    </xf>
    <xf numFmtId="0" fontId="1" fillId="0" borderId="0" xfId="1" applyAlignment="1">
      <alignment horizontal="center" vertical="center"/>
    </xf>
    <xf numFmtId="0" fontId="38" fillId="0" borderId="2" xfId="1" applyFont="1" applyBorder="1" applyAlignment="1" applyProtection="1">
      <alignment vertical="center"/>
      <protection locked="0"/>
    </xf>
    <xf numFmtId="0" fontId="19" fillId="0" borderId="0" xfId="1" applyFont="1" applyProtection="1">
      <protection locked="0"/>
    </xf>
    <xf numFmtId="0" fontId="38" fillId="0" borderId="38" xfId="1" applyFont="1" applyBorder="1" applyAlignment="1" applyProtection="1">
      <alignment vertical="center"/>
      <protection locked="0"/>
    </xf>
    <xf numFmtId="172" fontId="1" fillId="0" borderId="0" xfId="1" applyNumberFormat="1"/>
    <xf numFmtId="0" fontId="39" fillId="0" borderId="0" xfId="1" applyFont="1" applyProtection="1">
      <protection locked="0"/>
    </xf>
    <xf numFmtId="0" fontId="1" fillId="0" borderId="39" xfId="1" applyBorder="1" applyAlignment="1">
      <alignment vertical="center"/>
    </xf>
    <xf numFmtId="4" fontId="31" fillId="0" borderId="9" xfId="1" applyNumberFormat="1" applyFont="1" applyBorder="1" applyAlignment="1">
      <alignment horizontal="center" vertical="center"/>
    </xf>
    <xf numFmtId="0" fontId="37" fillId="0" borderId="41" xfId="1" applyFont="1" applyBorder="1" applyAlignment="1" applyProtection="1">
      <alignment vertical="center"/>
      <protection locked="0"/>
    </xf>
    <xf numFmtId="0" fontId="1" fillId="0" borderId="36" xfId="1" applyBorder="1" applyProtection="1">
      <protection locked="0"/>
    </xf>
    <xf numFmtId="0" fontId="34" fillId="0" borderId="36" xfId="1" applyFont="1" applyBorder="1" applyProtection="1">
      <protection locked="0"/>
    </xf>
    <xf numFmtId="0" fontId="38" fillId="0" borderId="42" xfId="1" applyFont="1" applyBorder="1" applyAlignment="1" applyProtection="1">
      <alignment vertical="center"/>
      <protection locked="0"/>
    </xf>
    <xf numFmtId="0" fontId="34" fillId="0" borderId="43" xfId="1" applyFont="1" applyBorder="1" applyProtection="1">
      <protection locked="0"/>
    </xf>
    <xf numFmtId="0" fontId="1" fillId="4" borderId="39" xfId="1" applyFill="1" applyBorder="1" applyAlignment="1" applyProtection="1">
      <alignment vertical="center"/>
      <protection locked="0"/>
    </xf>
    <xf numFmtId="4" fontId="35" fillId="0" borderId="19" xfId="1" applyNumberFormat="1" applyFont="1" applyBorder="1" applyAlignment="1">
      <alignment horizontal="center" vertical="center"/>
    </xf>
    <xf numFmtId="172" fontId="1" fillId="0" borderId="0" xfId="1" applyNumberFormat="1" applyAlignment="1">
      <alignment vertical="center"/>
    </xf>
    <xf numFmtId="0" fontId="33" fillId="0" borderId="44" xfId="1" applyFont="1" applyBorder="1" applyAlignment="1">
      <alignment vertical="center"/>
    </xf>
    <xf numFmtId="4" fontId="35" fillId="0" borderId="17" xfId="1" applyNumberFormat="1" applyFont="1" applyBorder="1" applyAlignment="1">
      <alignment horizontal="center" vertical="center"/>
    </xf>
    <xf numFmtId="0" fontId="1" fillId="0" borderId="45" xfId="1" applyBorder="1"/>
    <xf numFmtId="0" fontId="34" fillId="0" borderId="2" xfId="1" applyFont="1" applyBorder="1" applyProtection="1">
      <protection locked="0"/>
    </xf>
    <xf numFmtId="0" fontId="25" fillId="0" borderId="0" xfId="1" applyFont="1" applyProtection="1">
      <protection locked="0"/>
    </xf>
    <xf numFmtId="0" fontId="31" fillId="0" borderId="1" xfId="1" applyFont="1" applyBorder="1" applyAlignment="1">
      <alignment vertical="center"/>
    </xf>
    <xf numFmtId="0" fontId="31" fillId="0" borderId="11" xfId="1" applyFont="1" applyBorder="1" applyAlignment="1">
      <alignment vertical="center"/>
    </xf>
    <xf numFmtId="0" fontId="1" fillId="0" borderId="11" xfId="1" applyBorder="1" applyAlignment="1">
      <alignment vertical="center"/>
    </xf>
    <xf numFmtId="0" fontId="1" fillId="0" borderId="11" xfId="1" applyBorder="1"/>
    <xf numFmtId="0" fontId="31" fillId="0" borderId="5" xfId="1" applyFont="1" applyBorder="1" applyAlignment="1">
      <alignment horizontal="center" vertical="center"/>
    </xf>
    <xf numFmtId="0" fontId="31" fillId="0" borderId="9" xfId="1" applyFont="1" applyBorder="1" applyAlignment="1">
      <alignment horizontal="center" vertical="center"/>
    </xf>
    <xf numFmtId="0" fontId="37" fillId="0" borderId="2" xfId="1" applyFont="1" applyBorder="1" applyAlignment="1" applyProtection="1">
      <alignment vertical="center"/>
      <protection locked="0"/>
    </xf>
    <xf numFmtId="0" fontId="1" fillId="0" borderId="14" xfId="1" applyBorder="1"/>
    <xf numFmtId="0" fontId="31" fillId="0" borderId="7" xfId="1" applyFont="1" applyBorder="1" applyAlignment="1">
      <alignment horizontal="center" vertical="center"/>
    </xf>
    <xf numFmtId="0" fontId="37" fillId="0" borderId="38" xfId="1" applyFont="1" applyBorder="1" applyAlignment="1" applyProtection="1">
      <alignment vertical="center"/>
      <protection locked="0"/>
    </xf>
    <xf numFmtId="0" fontId="1" fillId="4" borderId="46" xfId="1" applyFill="1" applyBorder="1" applyAlignment="1" applyProtection="1">
      <alignment vertical="center"/>
      <protection locked="0"/>
    </xf>
    <xf numFmtId="0" fontId="25" fillId="0" borderId="12" xfId="1" applyFont="1" applyBorder="1" applyProtection="1">
      <protection locked="0"/>
    </xf>
    <xf numFmtId="0" fontId="1" fillId="0" borderId="47" xfId="1" applyBorder="1" applyAlignment="1" applyProtection="1">
      <alignment vertical="center"/>
      <protection locked="0"/>
    </xf>
    <xf numFmtId="0" fontId="37" fillId="0" borderId="8" xfId="1" applyFont="1" applyBorder="1" applyAlignment="1" applyProtection="1">
      <alignment vertical="center"/>
      <protection locked="0"/>
    </xf>
    <xf numFmtId="0" fontId="34" fillId="0" borderId="3" xfId="1" applyFont="1" applyBorder="1" applyProtection="1">
      <protection locked="0"/>
    </xf>
    <xf numFmtId="0" fontId="25" fillId="0" borderId="3" xfId="1" applyFont="1" applyBorder="1" applyProtection="1">
      <protection locked="0"/>
    </xf>
    <xf numFmtId="0" fontId="34" fillId="0" borderId="33" xfId="1" applyFont="1" applyBorder="1" applyAlignment="1" applyProtection="1">
      <alignment vertical="center"/>
      <protection locked="0"/>
    </xf>
    <xf numFmtId="0" fontId="25" fillId="0" borderId="16" xfId="1" applyFont="1" applyBorder="1" applyProtection="1">
      <protection locked="0"/>
    </xf>
    <xf numFmtId="0" fontId="1" fillId="0" borderId="47" xfId="1" applyBorder="1"/>
    <xf numFmtId="0" fontId="40" fillId="5" borderId="2" xfId="1" applyFont="1" applyFill="1" applyBorder="1"/>
    <xf numFmtId="0" fontId="25" fillId="5" borderId="0" xfId="1" applyFont="1" applyFill="1"/>
    <xf numFmtId="0" fontId="39" fillId="5" borderId="0" xfId="1" applyFont="1" applyFill="1" applyAlignment="1">
      <alignment horizontal="left" vertical="center"/>
    </xf>
    <xf numFmtId="0" fontId="41" fillId="5" borderId="0" xfId="1" applyFont="1" applyFill="1" applyAlignment="1">
      <alignment horizontal="right" vertical="center"/>
    </xf>
    <xf numFmtId="0" fontId="25" fillId="2" borderId="48" xfId="1" applyFont="1" applyFill="1" applyBorder="1" applyAlignment="1" applyProtection="1">
      <alignment horizontal="center" vertical="center"/>
      <protection locked="0"/>
    </xf>
    <xf numFmtId="0" fontId="25" fillId="5" borderId="12" xfId="1" applyFont="1" applyFill="1" applyBorder="1"/>
    <xf numFmtId="0" fontId="19" fillId="4" borderId="39" xfId="1" applyFont="1" applyFill="1" applyBorder="1" applyAlignment="1" applyProtection="1">
      <alignment vertical="center"/>
      <protection locked="0"/>
    </xf>
    <xf numFmtId="4" fontId="35" fillId="4" borderId="23" xfId="1" applyNumberFormat="1" applyFont="1" applyFill="1" applyBorder="1" applyAlignment="1" applyProtection="1">
      <alignment horizontal="center" vertical="center"/>
      <protection locked="0"/>
    </xf>
    <xf numFmtId="4" fontId="1" fillId="0" borderId="0" xfId="1" applyNumberFormat="1" applyAlignment="1">
      <alignment vertical="center"/>
    </xf>
    <xf numFmtId="0" fontId="37" fillId="0" borderId="25" xfId="1" applyFont="1" applyBorder="1" applyAlignment="1">
      <alignment horizontal="center" vertical="center"/>
    </xf>
    <xf numFmtId="0" fontId="37" fillId="0" borderId="14" xfId="1" applyFont="1" applyBorder="1"/>
    <xf numFmtId="0" fontId="34" fillId="4" borderId="14" xfId="1" applyFont="1" applyFill="1" applyBorder="1" applyProtection="1">
      <protection locked="0"/>
    </xf>
    <xf numFmtId="0" fontId="1" fillId="4" borderId="14" xfId="1" applyFill="1" applyBorder="1" applyProtection="1">
      <protection locked="0"/>
    </xf>
    <xf numFmtId="0" fontId="38" fillId="0" borderId="32" xfId="1" applyFont="1" applyBorder="1"/>
    <xf numFmtId="0" fontId="38" fillId="0" borderId="14" xfId="1" applyFont="1" applyBorder="1"/>
    <xf numFmtId="0" fontId="33" fillId="0" borderId="14" xfId="1" applyFont="1" applyBorder="1" applyAlignment="1">
      <alignment horizontal="right"/>
    </xf>
    <xf numFmtId="4" fontId="34" fillId="4" borderId="19" xfId="1" applyNumberFormat="1" applyFont="1" applyFill="1" applyBorder="1" applyAlignment="1" applyProtection="1">
      <alignment horizontal="right" vertical="center"/>
      <protection locked="0"/>
    </xf>
    <xf numFmtId="0" fontId="38" fillId="0" borderId="15" xfId="1" applyFont="1" applyBorder="1" applyAlignment="1">
      <alignment horizontal="center"/>
    </xf>
    <xf numFmtId="0" fontId="35" fillId="4" borderId="39" xfId="1" applyFont="1" applyFill="1" applyBorder="1" applyAlignment="1" applyProtection="1">
      <alignment vertical="center"/>
      <protection locked="0"/>
    </xf>
    <xf numFmtId="2" fontId="34" fillId="0" borderId="0" xfId="1" applyNumberFormat="1" applyFont="1"/>
    <xf numFmtId="0" fontId="37" fillId="0" borderId="49" xfId="1" applyFont="1" applyBorder="1" applyAlignment="1">
      <alignment horizontal="center" vertical="center"/>
    </xf>
    <xf numFmtId="0" fontId="34" fillId="4" borderId="0" xfId="1" applyFont="1" applyFill="1" applyProtection="1">
      <protection locked="0"/>
    </xf>
    <xf numFmtId="0" fontId="1" fillId="4" borderId="0" xfId="1" applyFill="1" applyProtection="1">
      <protection locked="0"/>
    </xf>
    <xf numFmtId="0" fontId="38" fillId="0" borderId="38" xfId="1" applyFont="1" applyBorder="1" applyAlignment="1">
      <alignment horizontal="left"/>
    </xf>
    <xf numFmtId="0" fontId="38" fillId="0" borderId="0" xfId="1" applyFont="1" applyAlignment="1">
      <alignment horizontal="left"/>
    </xf>
    <xf numFmtId="0" fontId="33" fillId="0" borderId="0" xfId="1" applyFont="1" applyAlignment="1">
      <alignment horizontal="right"/>
    </xf>
    <xf numFmtId="4" fontId="34" fillId="4" borderId="19" xfId="1" applyNumberFormat="1" applyFont="1" applyFill="1" applyBorder="1" applyAlignment="1" applyProtection="1">
      <alignment vertical="center"/>
      <protection locked="0"/>
    </xf>
    <xf numFmtId="0" fontId="38" fillId="0" borderId="12" xfId="1" applyFont="1" applyBorder="1" applyAlignment="1">
      <alignment horizontal="center"/>
    </xf>
    <xf numFmtId="0" fontId="33" fillId="4" borderId="28" xfId="1" applyFont="1" applyFill="1" applyBorder="1" applyAlignment="1" applyProtection="1">
      <alignment horizontal="center" vertical="center"/>
      <protection locked="0"/>
    </xf>
    <xf numFmtId="0" fontId="34" fillId="4" borderId="36" xfId="1" applyFont="1" applyFill="1" applyBorder="1" applyProtection="1">
      <protection locked="0"/>
    </xf>
    <xf numFmtId="0" fontId="1" fillId="4" borderId="36" xfId="1" applyFill="1" applyBorder="1" applyProtection="1">
      <protection locked="0"/>
    </xf>
    <xf numFmtId="0" fontId="1" fillId="4" borderId="42" xfId="1" applyFill="1" applyBorder="1" applyAlignment="1" applyProtection="1">
      <alignment vertical="center"/>
      <protection locked="0"/>
    </xf>
    <xf numFmtId="0" fontId="34" fillId="4" borderId="36" xfId="1" applyFont="1" applyFill="1" applyBorder="1" applyAlignment="1" applyProtection="1">
      <alignment horizontal="right" vertical="center"/>
      <protection locked="0"/>
    </xf>
    <xf numFmtId="0" fontId="33" fillId="4" borderId="36" xfId="1" applyFont="1" applyFill="1" applyBorder="1" applyAlignment="1" applyProtection="1">
      <alignment horizontal="right" vertical="center"/>
      <protection locked="0"/>
    </xf>
    <xf numFmtId="4" fontId="34" fillId="4" borderId="24" xfId="1" applyNumberFormat="1" applyFont="1" applyFill="1" applyBorder="1" applyAlignment="1" applyProtection="1">
      <alignment vertical="center"/>
      <protection locked="0"/>
    </xf>
    <xf numFmtId="0" fontId="38" fillId="0" borderId="43" xfId="1" applyFont="1" applyBorder="1" applyAlignment="1">
      <alignment horizontal="center"/>
    </xf>
    <xf numFmtId="0" fontId="34" fillId="0" borderId="47" xfId="1" applyFont="1" applyBorder="1"/>
    <xf numFmtId="0" fontId="37" fillId="0" borderId="50" xfId="1" applyFont="1" applyBorder="1" applyAlignment="1">
      <alignment horizontal="center" vertical="center"/>
    </xf>
    <xf numFmtId="0" fontId="37" fillId="0" borderId="0" xfId="1" applyFont="1"/>
    <xf numFmtId="0" fontId="1" fillId="0" borderId="38" xfId="1" applyBorder="1"/>
    <xf numFmtId="0" fontId="34" fillId="0" borderId="0" xfId="1" applyFont="1" applyAlignment="1">
      <alignment horizontal="right"/>
    </xf>
    <xf numFmtId="4" fontId="34" fillId="0" borderId="19" xfId="1" applyNumberFormat="1" applyFont="1" applyBorder="1" applyAlignment="1">
      <alignment vertical="center"/>
    </xf>
    <xf numFmtId="0" fontId="34" fillId="2" borderId="12" xfId="1" applyFont="1" applyFill="1" applyBorder="1"/>
    <xf numFmtId="2" fontId="35" fillId="4" borderId="23" xfId="1" applyNumberFormat="1" applyFont="1" applyFill="1" applyBorder="1" applyAlignment="1" applyProtection="1">
      <alignment horizontal="center" vertical="center"/>
      <protection locked="0"/>
    </xf>
    <xf numFmtId="0" fontId="1" fillId="0" borderId="42" xfId="1" applyBorder="1"/>
    <xf numFmtId="0" fontId="34" fillId="0" borderId="36" xfId="1" applyFont="1" applyBorder="1" applyAlignment="1">
      <alignment horizontal="right" vertical="center"/>
    </xf>
    <xf numFmtId="0" fontId="33" fillId="0" borderId="36" xfId="1" applyFont="1" applyBorder="1" applyAlignment="1">
      <alignment horizontal="right"/>
    </xf>
    <xf numFmtId="4" fontId="34" fillId="0" borderId="24" xfId="1" applyNumberFormat="1" applyFont="1" applyBorder="1" applyAlignment="1">
      <alignment vertical="center"/>
    </xf>
    <xf numFmtId="2" fontId="35" fillId="0" borderId="19" xfId="1" applyNumberFormat="1" applyFont="1" applyBorder="1" applyAlignment="1">
      <alignment horizontal="center" vertical="center"/>
    </xf>
    <xf numFmtId="0" fontId="32" fillId="4" borderId="3" xfId="1" applyFont="1" applyFill="1" applyBorder="1" applyProtection="1">
      <protection locked="0"/>
    </xf>
    <xf numFmtId="0" fontId="34" fillId="4" borderId="3" xfId="1" applyFont="1" applyFill="1" applyBorder="1" applyProtection="1">
      <protection locked="0"/>
    </xf>
    <xf numFmtId="0" fontId="1" fillId="4" borderId="3" xfId="1" applyFill="1" applyBorder="1" applyProtection="1">
      <protection locked="0"/>
    </xf>
    <xf numFmtId="0" fontId="37" fillId="0" borderId="33" xfId="1" applyFont="1" applyBorder="1" applyAlignment="1">
      <alignment vertical="center"/>
    </xf>
    <xf numFmtId="0" fontId="37" fillId="0" borderId="3" xfId="1" applyFont="1" applyBorder="1"/>
    <xf numFmtId="0" fontId="33" fillId="0" borderId="3" xfId="1" applyFont="1" applyBorder="1" applyAlignment="1">
      <alignment horizontal="right"/>
    </xf>
    <xf numFmtId="4" fontId="34" fillId="0" borderId="9" xfId="1" applyNumberFormat="1" applyFont="1" applyBorder="1" applyAlignment="1">
      <alignment vertical="center"/>
    </xf>
    <xf numFmtId="0" fontId="38" fillId="2" borderId="43" xfId="1" applyFont="1" applyFill="1" applyBorder="1" applyAlignment="1">
      <alignment horizontal="center"/>
    </xf>
    <xf numFmtId="2" fontId="31" fillId="0" borderId="9" xfId="1" applyNumberFormat="1" applyFont="1" applyBorder="1" applyAlignment="1">
      <alignment horizontal="center" vertical="center"/>
    </xf>
    <xf numFmtId="0" fontId="33" fillId="5" borderId="51" xfId="1" applyFont="1" applyFill="1" applyBorder="1"/>
    <xf numFmtId="0" fontId="42" fillId="5" borderId="18" xfId="1" applyFont="1" applyFill="1" applyBorder="1"/>
    <xf numFmtId="0" fontId="37" fillId="5" borderId="18" xfId="1" applyFont="1" applyFill="1" applyBorder="1" applyAlignment="1">
      <alignment horizontal="center"/>
    </xf>
    <xf numFmtId="0" fontId="34" fillId="5" borderId="18" xfId="1" applyFont="1" applyFill="1" applyBorder="1"/>
    <xf numFmtId="0" fontId="1" fillId="5" borderId="0" xfId="1" applyFill="1"/>
    <xf numFmtId="0" fontId="37" fillId="0" borderId="51" xfId="1" applyFont="1" applyBorder="1" applyAlignment="1">
      <alignment horizontal="center" vertical="center"/>
    </xf>
    <xf numFmtId="49" fontId="38" fillId="4" borderId="18" xfId="1" applyNumberFormat="1" applyFont="1" applyFill="1" applyBorder="1" applyProtection="1">
      <protection locked="0"/>
    </xf>
    <xf numFmtId="0" fontId="37" fillId="0" borderId="18" xfId="1" applyFont="1" applyBorder="1" applyAlignment="1">
      <alignment horizontal="center" vertical="center"/>
    </xf>
    <xf numFmtId="49" fontId="38" fillId="4" borderId="52" xfId="1" applyNumberFormat="1" applyFont="1" applyFill="1" applyBorder="1" applyProtection="1">
      <protection locked="0"/>
    </xf>
    <xf numFmtId="0" fontId="33" fillId="0" borderId="41" xfId="1" applyFont="1" applyBorder="1" applyAlignment="1">
      <alignment vertical="center"/>
    </xf>
    <xf numFmtId="0" fontId="42" fillId="0" borderId="36" xfId="1" applyFont="1" applyBorder="1"/>
    <xf numFmtId="0" fontId="37" fillId="0" borderId="36" xfId="1" applyFont="1" applyBorder="1" applyAlignment="1">
      <alignment horizontal="center"/>
    </xf>
    <xf numFmtId="0" fontId="34" fillId="0" borderId="53" xfId="1" applyFont="1" applyBorder="1"/>
    <xf numFmtId="0" fontId="38" fillId="5" borderId="36" xfId="1" applyFont="1" applyFill="1" applyBorder="1" applyAlignment="1">
      <alignment horizontal="right"/>
    </xf>
    <xf numFmtId="0" fontId="37" fillId="5" borderId="0" xfId="1" applyFont="1" applyFill="1" applyAlignment="1">
      <alignment horizontal="center"/>
    </xf>
    <xf numFmtId="0" fontId="38" fillId="5" borderId="0" xfId="1" applyFont="1" applyFill="1"/>
    <xf numFmtId="0" fontId="38" fillId="5" borderId="12" xfId="1" applyFont="1" applyFill="1" applyBorder="1"/>
    <xf numFmtId="0" fontId="44" fillId="0" borderId="54" xfId="1" applyFont="1" applyBorder="1" applyAlignment="1">
      <alignment horizontal="center" vertical="center" wrapText="1"/>
    </xf>
    <xf numFmtId="0" fontId="44" fillId="0" borderId="36" xfId="1" applyFont="1" applyBorder="1" applyAlignment="1">
      <alignment horizontal="center" vertical="center"/>
    </xf>
    <xf numFmtId="0" fontId="44" fillId="0" borderId="24" xfId="1" applyFont="1" applyBorder="1" applyAlignment="1">
      <alignment horizontal="center" vertical="center" wrapText="1"/>
    </xf>
    <xf numFmtId="0" fontId="44" fillId="0" borderId="17" xfId="1" applyFont="1" applyBorder="1" applyAlignment="1">
      <alignment horizontal="center" vertical="center" wrapText="1"/>
    </xf>
    <xf numFmtId="0" fontId="44" fillId="0" borderId="55" xfId="1" applyFont="1" applyBorder="1" applyAlignment="1">
      <alignment horizontal="center" vertical="center"/>
    </xf>
    <xf numFmtId="0" fontId="44" fillId="0" borderId="17" xfId="1" applyFont="1" applyBorder="1" applyAlignment="1">
      <alignment horizontal="center" vertical="center"/>
    </xf>
    <xf numFmtId="0" fontId="44" fillId="0" borderId="56" xfId="1" applyFont="1" applyBorder="1" applyAlignment="1">
      <alignment horizontal="center" vertical="center" wrapText="1"/>
    </xf>
    <xf numFmtId="0" fontId="44" fillId="5" borderId="12" xfId="1" applyFont="1" applyFill="1" applyBorder="1" applyAlignment="1">
      <alignment horizontal="center" vertical="center" wrapText="1"/>
    </xf>
    <xf numFmtId="0" fontId="31" fillId="0" borderId="57" xfId="1" applyFont="1" applyBorder="1" applyAlignment="1">
      <alignment horizontal="center" vertical="center"/>
    </xf>
    <xf numFmtId="15" fontId="35" fillId="4" borderId="58" xfId="1" applyNumberFormat="1" applyFont="1" applyFill="1" applyBorder="1" applyAlignment="1" applyProtection="1">
      <alignment horizontal="center" vertical="center"/>
      <protection locked="0"/>
    </xf>
    <xf numFmtId="168" fontId="35" fillId="4" borderId="59" xfId="1" applyNumberFormat="1" applyFont="1" applyFill="1" applyBorder="1" applyAlignment="1" applyProtection="1">
      <alignment horizontal="right" vertical="center"/>
      <protection locked="0"/>
    </xf>
    <xf numFmtId="0" fontId="31" fillId="2" borderId="58" xfId="1" applyFont="1" applyFill="1" applyBorder="1" applyAlignment="1">
      <alignment horizontal="center" vertical="center"/>
    </xf>
    <xf numFmtId="0" fontId="31" fillId="0" borderId="59" xfId="1" applyFont="1" applyBorder="1" applyAlignment="1">
      <alignment horizontal="center" vertical="center"/>
    </xf>
    <xf numFmtId="15" fontId="35" fillId="4" borderId="60" xfId="1" applyNumberFormat="1" applyFont="1" applyFill="1" applyBorder="1" applyAlignment="1" applyProtection="1">
      <alignment horizontal="center" vertical="center"/>
      <protection locked="0"/>
    </xf>
    <xf numFmtId="2" fontId="35" fillId="4" borderId="60" xfId="1" applyNumberFormat="1" applyFont="1" applyFill="1" applyBorder="1" applyAlignment="1" applyProtection="1">
      <alignment horizontal="right" vertical="center"/>
      <protection locked="0"/>
    </xf>
    <xf numFmtId="2" fontId="45" fillId="2" borderId="12" xfId="1" applyNumberFormat="1" applyFont="1" applyFill="1" applyBorder="1" applyAlignment="1">
      <alignment horizontal="center" vertical="center"/>
    </xf>
    <xf numFmtId="15" fontId="46" fillId="4" borderId="59" xfId="1" applyNumberFormat="1" applyFont="1" applyFill="1" applyBorder="1" applyAlignment="1" applyProtection="1">
      <alignment horizontal="center" vertical="center"/>
      <protection locked="0"/>
    </xf>
    <xf numFmtId="2" fontId="47" fillId="4" borderId="60" xfId="1" applyNumberFormat="1" applyFont="1" applyFill="1" applyBorder="1" applyAlignment="1" applyProtection="1">
      <alignment horizontal="right" vertical="center"/>
      <protection locked="0"/>
    </xf>
    <xf numFmtId="0" fontId="31" fillId="0" borderId="41" xfId="1" applyFont="1" applyBorder="1" applyAlignment="1">
      <alignment horizontal="center" vertical="center"/>
    </xf>
    <xf numFmtId="168" fontId="35" fillId="4" borderId="24" xfId="1" applyNumberFormat="1" applyFont="1" applyFill="1" applyBorder="1" applyAlignment="1" applyProtection="1">
      <alignment horizontal="right" vertical="center"/>
      <protection locked="0"/>
    </xf>
    <xf numFmtId="0" fontId="31" fillId="2" borderId="42" xfId="1" applyFont="1" applyFill="1" applyBorder="1" applyAlignment="1">
      <alignment horizontal="center" vertical="center"/>
    </xf>
    <xf numFmtId="0" fontId="31" fillId="0" borderId="24" xfId="1" applyFont="1" applyBorder="1" applyAlignment="1">
      <alignment horizontal="center" vertical="center"/>
    </xf>
    <xf numFmtId="15" fontId="46" fillId="4" borderId="24" xfId="1" applyNumberFormat="1" applyFont="1" applyFill="1" applyBorder="1" applyAlignment="1" applyProtection="1">
      <alignment horizontal="center" vertical="center"/>
      <protection locked="0"/>
    </xf>
    <xf numFmtId="2" fontId="47" fillId="4" borderId="53" xfId="1" applyNumberFormat="1" applyFont="1" applyFill="1" applyBorder="1" applyAlignment="1" applyProtection="1">
      <alignment horizontal="right" vertical="center"/>
      <protection locked="0"/>
    </xf>
    <xf numFmtId="168" fontId="45" fillId="2" borderId="9" xfId="1" applyNumberFormat="1" applyFont="1" applyFill="1" applyBorder="1" applyAlignment="1">
      <alignment horizontal="right" vertical="center"/>
    </xf>
    <xf numFmtId="0" fontId="48" fillId="0" borderId="0" xfId="1" applyFont="1"/>
    <xf numFmtId="0" fontId="31" fillId="5" borderId="2" xfId="1" applyFont="1" applyFill="1" applyBorder="1" applyAlignment="1">
      <alignment horizontal="center" vertical="center"/>
    </xf>
    <xf numFmtId="14" fontId="49" fillId="5" borderId="0" xfId="1" applyNumberFormat="1" applyFont="1" applyFill="1" applyAlignment="1" applyProtection="1">
      <alignment horizontal="center" vertical="center"/>
      <protection locked="0"/>
    </xf>
    <xf numFmtId="2" fontId="49" fillId="5" borderId="0" xfId="1" applyNumberFormat="1" applyFont="1" applyFill="1" applyAlignment="1" applyProtection="1">
      <alignment horizontal="right" vertical="center"/>
      <protection locked="0"/>
    </xf>
    <xf numFmtId="2" fontId="49" fillId="5" borderId="36" xfId="1" applyNumberFormat="1" applyFont="1" applyFill="1" applyBorder="1" applyAlignment="1">
      <alignment horizontal="center" vertical="center"/>
    </xf>
    <xf numFmtId="0" fontId="31" fillId="5" borderId="36" xfId="1" applyFont="1" applyFill="1" applyBorder="1" applyAlignment="1">
      <alignment horizontal="center" vertical="center"/>
    </xf>
    <xf numFmtId="2" fontId="50" fillId="5" borderId="61" xfId="1" applyNumberFormat="1" applyFont="1" applyFill="1" applyBorder="1" applyAlignment="1">
      <alignment vertical="center"/>
    </xf>
    <xf numFmtId="2" fontId="51" fillId="5" borderId="61" xfId="1" applyNumberFormat="1" applyFont="1" applyFill="1" applyBorder="1" applyAlignment="1">
      <alignment horizontal="right" vertical="center"/>
    </xf>
    <xf numFmtId="2" fontId="51" fillId="5" borderId="62" xfId="1" applyNumberFormat="1" applyFont="1" applyFill="1" applyBorder="1" applyAlignment="1">
      <alignment horizontal="right" vertical="center"/>
    </xf>
    <xf numFmtId="0" fontId="52" fillId="0" borderId="63" xfId="1" applyFont="1" applyBorder="1"/>
    <xf numFmtId="0" fontId="34" fillId="0" borderId="64" xfId="1" applyFont="1" applyBorder="1"/>
    <xf numFmtId="0" fontId="53" fillId="2" borderId="64" xfId="1" applyFont="1" applyFill="1" applyBorder="1" applyAlignment="1">
      <alignment horizontal="center" vertical="center"/>
    </xf>
    <xf numFmtId="0" fontId="53" fillId="4" borderId="65" xfId="1" applyFont="1" applyFill="1" applyBorder="1" applyAlignment="1" applyProtection="1">
      <alignment horizontal="center" vertical="center"/>
      <protection locked="0"/>
    </xf>
    <xf numFmtId="0" fontId="37" fillId="2" borderId="66" xfId="1" applyFont="1" applyFill="1" applyBorder="1" applyAlignment="1">
      <alignment horizontal="right" vertical="center" wrapText="1"/>
    </xf>
    <xf numFmtId="0" fontId="52" fillId="4" borderId="67" xfId="1" applyFont="1" applyFill="1" applyBorder="1" applyAlignment="1" applyProtection="1">
      <alignment horizontal="center"/>
      <protection locked="0"/>
    </xf>
    <xf numFmtId="2" fontId="50" fillId="5" borderId="68" xfId="1" applyNumberFormat="1" applyFont="1" applyFill="1" applyBorder="1" applyAlignment="1">
      <alignment horizontal="center" vertical="center" wrapText="1"/>
    </xf>
    <xf numFmtId="2" fontId="36" fillId="5" borderId="18" xfId="1" applyNumberFormat="1" applyFont="1" applyFill="1" applyBorder="1" applyAlignment="1">
      <alignment horizontal="right" vertical="center"/>
    </xf>
    <xf numFmtId="2" fontId="50" fillId="5" borderId="18" xfId="1" applyNumberFormat="1" applyFont="1" applyFill="1" applyBorder="1" applyAlignment="1">
      <alignment horizontal="center" vertical="center" wrapText="1"/>
    </xf>
    <xf numFmtId="2" fontId="51" fillId="5" borderId="52" xfId="1" applyNumberFormat="1" applyFont="1" applyFill="1" applyBorder="1" applyAlignment="1">
      <alignment horizontal="center" vertical="center"/>
    </xf>
    <xf numFmtId="0" fontId="33" fillId="0" borderId="2" xfId="1" applyFont="1" applyBorder="1"/>
    <xf numFmtId="0" fontId="34" fillId="2" borderId="0" xfId="1" applyFont="1" applyFill="1"/>
    <xf numFmtId="0" fontId="37" fillId="2" borderId="42" xfId="1" applyFont="1" applyFill="1" applyBorder="1" applyAlignment="1">
      <alignment horizontal="right"/>
    </xf>
    <xf numFmtId="0" fontId="52" fillId="4" borderId="24" xfId="1" applyFont="1" applyFill="1" applyBorder="1" applyAlignment="1" applyProtection="1">
      <alignment horizontal="center" vertical="center"/>
      <protection locked="0"/>
    </xf>
    <xf numFmtId="0" fontId="34" fillId="0" borderId="0" xfId="1" applyFont="1" applyAlignment="1">
      <alignment horizontal="centerContinuous"/>
    </xf>
    <xf numFmtId="0" fontId="34" fillId="0" borderId="0" xfId="1" applyFont="1" applyAlignment="1">
      <alignment horizontal="left"/>
    </xf>
    <xf numFmtId="0" fontId="34" fillId="0" borderId="38" xfId="1" applyFont="1" applyBorder="1" applyAlignment="1">
      <alignment horizontal="left"/>
    </xf>
    <xf numFmtId="0" fontId="34" fillId="0" borderId="12" xfId="1" applyFont="1" applyBorder="1" applyAlignment="1">
      <alignment horizontal="centerContinuous"/>
    </xf>
    <xf numFmtId="0" fontId="33" fillId="0" borderId="36" xfId="1" applyFont="1" applyBorder="1"/>
    <xf numFmtId="14" fontId="52" fillId="4" borderId="53" xfId="1" applyNumberFormat="1" applyFont="1" applyFill="1" applyBorder="1" applyAlignment="1" applyProtection="1">
      <alignment horizontal="center" vertical="center"/>
      <protection locked="0"/>
    </xf>
    <xf numFmtId="0" fontId="34" fillId="0" borderId="36" xfId="1" applyFont="1" applyBorder="1" applyAlignment="1">
      <alignment horizontal="centerContinuous"/>
    </xf>
    <xf numFmtId="0" fontId="33" fillId="0" borderId="42" xfId="1" applyFont="1" applyBorder="1" applyAlignment="1">
      <alignment horizontal="right"/>
    </xf>
    <xf numFmtId="0" fontId="34" fillId="0" borderId="43" xfId="1" applyFont="1" applyBorder="1" applyAlignment="1">
      <alignment horizontal="centerContinuous"/>
    </xf>
    <xf numFmtId="0" fontId="34" fillId="0" borderId="36" xfId="1" applyFont="1" applyBorder="1"/>
    <xf numFmtId="0" fontId="1" fillId="0" borderId="2" xfId="1" applyBorder="1"/>
    <xf numFmtId="173" fontId="38" fillId="4" borderId="69" xfId="1" applyNumberFormat="1" applyFont="1" applyFill="1" applyBorder="1" applyAlignment="1" applyProtection="1">
      <alignment horizontal="right" vertical="center"/>
      <protection locked="0"/>
    </xf>
    <xf numFmtId="0" fontId="34" fillId="2" borderId="70" xfId="1" applyFont="1" applyFill="1" applyBorder="1" applyAlignment="1">
      <alignment horizontal="right"/>
    </xf>
    <xf numFmtId="0" fontId="55" fillId="0" borderId="0" xfId="1" applyFont="1" applyAlignment="1">
      <alignment vertical="center"/>
    </xf>
    <xf numFmtId="173" fontId="38" fillId="4" borderId="33" xfId="1" applyNumberFormat="1" applyFont="1" applyFill="1" applyBorder="1" applyAlignment="1" applyProtection="1">
      <alignment horizontal="right" vertical="center"/>
      <protection locked="0"/>
    </xf>
    <xf numFmtId="0" fontId="34" fillId="2" borderId="16" xfId="1" applyFont="1" applyFill="1" applyBorder="1" applyAlignment="1">
      <alignment horizontal="right"/>
    </xf>
    <xf numFmtId="0" fontId="34" fillId="0" borderId="0" xfId="1" applyFont="1" applyAlignment="1">
      <alignment horizontal="center"/>
    </xf>
    <xf numFmtId="0" fontId="31" fillId="0" borderId="0" xfId="1" applyFont="1" applyAlignment="1">
      <alignment horizontal="left" vertical="center"/>
    </xf>
    <xf numFmtId="4" fontId="35" fillId="0" borderId="23" xfId="1" applyNumberFormat="1" applyFont="1" applyBorder="1" applyAlignment="1">
      <alignment vertical="center"/>
    </xf>
    <xf numFmtId="0" fontId="35" fillId="0" borderId="0" xfId="1" applyFont="1" applyAlignment="1">
      <alignment horizontal="left" vertical="center"/>
    </xf>
    <xf numFmtId="173" fontId="38" fillId="0" borderId="71" xfId="1" applyNumberFormat="1" applyFont="1" applyBorder="1" applyAlignment="1">
      <alignment horizontal="right" vertical="center"/>
    </xf>
    <xf numFmtId="174" fontId="34" fillId="2" borderId="62" xfId="1" applyNumberFormat="1" applyFont="1" applyFill="1" applyBorder="1" applyAlignment="1">
      <alignment horizontal="center"/>
    </xf>
    <xf numFmtId="0" fontId="1" fillId="3" borderId="39" xfId="1" applyFill="1" applyBorder="1" applyAlignment="1" applyProtection="1">
      <alignment vertical="center"/>
      <protection locked="0"/>
    </xf>
    <xf numFmtId="0" fontId="1" fillId="3" borderId="72" xfId="1" applyFill="1" applyBorder="1" applyAlignment="1">
      <alignment vertical="center"/>
    </xf>
    <xf numFmtId="0" fontId="35" fillId="0" borderId="0" xfId="1" applyFont="1" applyAlignment="1">
      <alignment horizontal="center" vertical="center"/>
    </xf>
    <xf numFmtId="173" fontId="38" fillId="4" borderId="38" xfId="1" applyNumberFormat="1" applyFont="1" applyFill="1" applyBorder="1" applyAlignment="1" applyProtection="1">
      <alignment horizontal="right" vertical="center"/>
      <protection locked="0"/>
    </xf>
    <xf numFmtId="40" fontId="56" fillId="2" borderId="12" xfId="1" applyNumberFormat="1" applyFont="1" applyFill="1" applyBorder="1" applyAlignment="1">
      <alignment horizontal="right"/>
    </xf>
    <xf numFmtId="0" fontId="35" fillId="3" borderId="73" xfId="1" applyFont="1" applyFill="1" applyBorder="1" applyAlignment="1" applyProtection="1">
      <alignment horizontal="left" vertical="center"/>
      <protection locked="0"/>
    </xf>
    <xf numFmtId="0" fontId="1" fillId="3" borderId="73" xfId="1" applyFill="1" applyBorder="1" applyAlignment="1" applyProtection="1">
      <alignment vertical="center"/>
      <protection locked="0"/>
    </xf>
    <xf numFmtId="0" fontId="1" fillId="3" borderId="74" xfId="1" applyFill="1" applyBorder="1" applyAlignment="1">
      <alignment vertical="center"/>
    </xf>
    <xf numFmtId="4" fontId="31" fillId="0" borderId="9" xfId="1" applyNumberFormat="1" applyFont="1" applyBorder="1" applyAlignment="1">
      <alignment vertical="center"/>
    </xf>
    <xf numFmtId="0" fontId="21" fillId="0" borderId="17" xfId="1" applyFont="1" applyBorder="1" applyAlignment="1">
      <alignment horizontal="right" vertical="center"/>
    </xf>
    <xf numFmtId="173" fontId="38" fillId="2" borderId="33" xfId="1" applyNumberFormat="1" applyFont="1" applyFill="1" applyBorder="1" applyAlignment="1">
      <alignment horizontal="right" vertical="center"/>
    </xf>
    <xf numFmtId="4" fontId="34" fillId="0" borderId="0" xfId="1" applyNumberFormat="1" applyFont="1"/>
    <xf numFmtId="0" fontId="1" fillId="0" borderId="2" xfId="1" applyBorder="1" applyAlignment="1">
      <alignment horizontal="right"/>
    </xf>
    <xf numFmtId="2" fontId="35" fillId="0" borderId="0" xfId="1" applyNumberFormat="1" applyFont="1" applyAlignment="1">
      <alignment vertical="center"/>
    </xf>
    <xf numFmtId="40" fontId="38" fillId="2" borderId="38" xfId="1" applyNumberFormat="1" applyFont="1" applyFill="1" applyBorder="1" applyAlignment="1">
      <alignment horizontal="right" vertical="center"/>
    </xf>
    <xf numFmtId="0" fontId="34" fillId="2" borderId="12" xfId="1" applyFont="1" applyFill="1" applyBorder="1" applyAlignment="1">
      <alignment horizontal="right"/>
    </xf>
    <xf numFmtId="4" fontId="35" fillId="0" borderId="75" xfId="1" applyNumberFormat="1" applyFont="1" applyBorder="1" applyAlignment="1">
      <alignment vertical="center"/>
    </xf>
    <xf numFmtId="0" fontId="1" fillId="0" borderId="2" xfId="1" applyBorder="1" applyAlignment="1">
      <alignment horizontal="left"/>
    </xf>
    <xf numFmtId="0" fontId="1" fillId="4" borderId="0" xfId="1" applyFill="1" applyAlignment="1" applyProtection="1">
      <alignment horizontal="left" vertical="center"/>
      <protection locked="0"/>
    </xf>
    <xf numFmtId="0" fontId="1" fillId="4" borderId="0" xfId="1" applyFill="1" applyAlignment="1" applyProtection="1">
      <alignment vertical="center"/>
      <protection locked="0"/>
    </xf>
    <xf numFmtId="0" fontId="1" fillId="4" borderId="0" xfId="1" applyFill="1" applyAlignment="1" applyProtection="1">
      <alignment horizontal="right" vertical="center"/>
      <protection locked="0"/>
    </xf>
    <xf numFmtId="0" fontId="35" fillId="4" borderId="0" xfId="1" applyFont="1" applyFill="1" applyAlignment="1" applyProtection="1">
      <alignment vertical="center"/>
      <protection locked="0"/>
    </xf>
    <xf numFmtId="173" fontId="38" fillId="4" borderId="42" xfId="1" applyNumberFormat="1" applyFont="1" applyFill="1" applyBorder="1" applyAlignment="1" applyProtection="1">
      <alignment horizontal="right" vertical="center"/>
      <protection locked="0"/>
    </xf>
    <xf numFmtId="0" fontId="34" fillId="2" borderId="43" xfId="1" applyFont="1" applyFill="1" applyBorder="1" applyAlignment="1">
      <alignment horizontal="right"/>
    </xf>
    <xf numFmtId="4" fontId="35" fillId="0" borderId="76" xfId="1" applyNumberFormat="1" applyFont="1" applyBorder="1" applyAlignment="1">
      <alignment vertical="center"/>
    </xf>
    <xf numFmtId="0" fontId="1" fillId="0" borderId="2" xfId="1" quotePrefix="1" applyBorder="1"/>
    <xf numFmtId="2" fontId="31" fillId="0" borderId="0" xfId="1" applyNumberFormat="1" applyFont="1" applyAlignment="1">
      <alignment vertical="center"/>
    </xf>
    <xf numFmtId="40" fontId="38" fillId="0" borderId="71" xfId="1" applyNumberFormat="1" applyFont="1" applyBorder="1" applyAlignment="1">
      <alignment horizontal="right" vertical="center"/>
    </xf>
    <xf numFmtId="0" fontId="33" fillId="2" borderId="62" xfId="1" applyFont="1" applyFill="1" applyBorder="1" applyAlignment="1">
      <alignment horizontal="left"/>
    </xf>
    <xf numFmtId="0" fontId="33" fillId="0" borderId="0" xfId="1" applyFont="1" applyAlignment="1">
      <alignment horizontal="left" vertical="center"/>
    </xf>
    <xf numFmtId="40" fontId="38" fillId="0" borderId="38" xfId="1" applyNumberFormat="1" applyFont="1" applyBorder="1" applyAlignment="1">
      <alignment horizontal="right" vertical="center"/>
    </xf>
    <xf numFmtId="174" fontId="57" fillId="2" borderId="43" xfId="1" applyNumberFormat="1" applyFont="1" applyFill="1" applyBorder="1" applyAlignment="1">
      <alignment horizontal="right" vertical="center"/>
    </xf>
    <xf numFmtId="0" fontId="1" fillId="3" borderId="73" xfId="1" applyFill="1" applyBorder="1" applyProtection="1">
      <protection locked="0"/>
    </xf>
    <xf numFmtId="0" fontId="34" fillId="0" borderId="2" xfId="1" applyFont="1" applyBorder="1"/>
    <xf numFmtId="0" fontId="34" fillId="0" borderId="0" xfId="1" applyFont="1" applyAlignment="1">
      <alignment vertical="center"/>
    </xf>
    <xf numFmtId="40" fontId="33" fillId="0" borderId="0" xfId="1" applyNumberFormat="1" applyFont="1" applyAlignment="1">
      <alignment horizontal="left" vertical="center"/>
    </xf>
    <xf numFmtId="40" fontId="37" fillId="0" borderId="5" xfId="1" applyNumberFormat="1" applyFont="1" applyBorder="1" applyAlignment="1">
      <alignment horizontal="right" vertical="center"/>
    </xf>
    <xf numFmtId="174" fontId="33" fillId="2" borderId="12" xfId="1" applyNumberFormat="1" applyFont="1" applyFill="1" applyBorder="1" applyAlignment="1">
      <alignment horizontal="center" vertical="center"/>
    </xf>
    <xf numFmtId="0" fontId="36" fillId="0" borderId="44" xfId="1" applyFont="1" applyBorder="1"/>
    <xf numFmtId="0" fontId="34" fillId="0" borderId="61" xfId="1" applyFont="1" applyBorder="1"/>
    <xf numFmtId="0" fontId="34" fillId="4" borderId="51" xfId="1" applyFont="1" applyFill="1" applyBorder="1" applyAlignment="1" applyProtection="1">
      <alignment vertical="center"/>
      <protection locked="0"/>
    </xf>
    <xf numFmtId="0" fontId="34" fillId="4" borderId="18" xfId="1" applyFont="1" applyFill="1" applyBorder="1" applyAlignment="1" applyProtection="1">
      <alignment vertical="center"/>
      <protection locked="0"/>
    </xf>
    <xf numFmtId="0" fontId="34" fillId="2" borderId="0" xfId="1" applyFont="1" applyFill="1" applyProtection="1">
      <protection locked="0"/>
    </xf>
    <xf numFmtId="0" fontId="38" fillId="2" borderId="0" xfId="1" applyFont="1" applyFill="1"/>
    <xf numFmtId="2" fontId="34" fillId="2" borderId="0" xfId="1" applyNumberFormat="1" applyFont="1" applyFill="1"/>
    <xf numFmtId="0" fontId="57" fillId="0" borderId="77" xfId="1" applyFont="1" applyBorder="1" applyAlignment="1">
      <alignment horizontal="center" vertical="center"/>
    </xf>
    <xf numFmtId="0" fontId="52" fillId="2" borderId="78" xfId="1" applyFont="1" applyFill="1" applyBorder="1" applyAlignment="1">
      <alignment horizontal="center" vertical="center"/>
    </xf>
    <xf numFmtId="0" fontId="37" fillId="2" borderId="61" xfId="1" applyFont="1" applyFill="1" applyBorder="1" applyAlignment="1">
      <alignment vertical="center"/>
    </xf>
    <xf numFmtId="0" fontId="34" fillId="2" borderId="61" xfId="1" applyFont="1" applyFill="1" applyBorder="1"/>
    <xf numFmtId="2" fontId="34" fillId="2" borderId="61" xfId="1" applyNumberFormat="1" applyFont="1" applyFill="1" applyBorder="1"/>
    <xf numFmtId="2" fontId="34" fillId="2" borderId="79" xfId="1" applyNumberFormat="1" applyFont="1" applyFill="1" applyBorder="1"/>
    <xf numFmtId="0" fontId="31" fillId="2" borderId="17" xfId="1" applyFont="1" applyFill="1" applyBorder="1" applyAlignment="1">
      <alignment vertical="center"/>
    </xf>
    <xf numFmtId="0" fontId="35" fillId="2" borderId="17" xfId="1" applyFont="1" applyFill="1" applyBorder="1"/>
    <xf numFmtId="168" fontId="35" fillId="2" borderId="17" xfId="1" applyNumberFormat="1" applyFont="1" applyFill="1" applyBorder="1" applyAlignment="1">
      <alignment horizontal="center" vertical="center"/>
    </xf>
    <xf numFmtId="2" fontId="31" fillId="2" borderId="5" xfId="1" applyNumberFormat="1" applyFont="1" applyFill="1" applyBorder="1" applyAlignment="1">
      <alignment horizontal="center" vertical="center"/>
    </xf>
    <xf numFmtId="4" fontId="35" fillId="0" borderId="17" xfId="1" applyNumberFormat="1" applyFont="1" applyBorder="1" applyAlignment="1">
      <alignment vertical="center"/>
    </xf>
    <xf numFmtId="0" fontId="38" fillId="0" borderId="50" xfId="1" applyFont="1" applyBorder="1" applyAlignment="1">
      <alignment horizontal="right" vertical="center"/>
    </xf>
    <xf numFmtId="0" fontId="38" fillId="0" borderId="80" xfId="1" applyFont="1" applyBorder="1" applyAlignment="1">
      <alignment horizontal="center" vertical="center"/>
    </xf>
    <xf numFmtId="0" fontId="47" fillId="0" borderId="81" xfId="1" applyFont="1" applyBorder="1" applyAlignment="1">
      <alignment horizontal="center" vertical="center"/>
    </xf>
    <xf numFmtId="0" fontId="47" fillId="0" borderId="17" xfId="1" applyFont="1" applyBorder="1" applyAlignment="1">
      <alignment horizontal="center" vertical="center"/>
    </xf>
    <xf numFmtId="0" fontId="31" fillId="0" borderId="17" xfId="1" applyFont="1" applyBorder="1" applyAlignment="1">
      <alignment horizontal="left" vertical="center"/>
    </xf>
    <xf numFmtId="0" fontId="35" fillId="0" borderId="17" xfId="1" applyFont="1" applyBorder="1" applyAlignment="1">
      <alignment horizontal="center"/>
    </xf>
    <xf numFmtId="168" fontId="35" fillId="0" borderId="17" xfId="1" applyNumberFormat="1" applyFont="1" applyBorder="1" applyAlignment="1">
      <alignment horizontal="center" vertical="center"/>
    </xf>
    <xf numFmtId="0" fontId="31" fillId="0" borderId="4" xfId="1" applyFont="1" applyBorder="1" applyAlignment="1">
      <alignment horizontal="center" vertical="center"/>
    </xf>
    <xf numFmtId="0" fontId="52" fillId="4" borderId="82" xfId="1" applyFont="1" applyFill="1" applyBorder="1" applyAlignment="1" applyProtection="1">
      <alignment horizontal="center" vertical="center"/>
      <protection locked="0"/>
    </xf>
    <xf numFmtId="0" fontId="45" fillId="0" borderId="39" xfId="1" applyFont="1" applyBorder="1" applyAlignment="1">
      <alignment horizontal="center" vertical="center"/>
    </xf>
    <xf numFmtId="168" fontId="35" fillId="4" borderId="83" xfId="1" applyNumberFormat="1" applyFont="1" applyFill="1" applyBorder="1" applyAlignment="1" applyProtection="1">
      <alignment horizontal="center" vertical="center"/>
      <protection locked="0"/>
    </xf>
    <xf numFmtId="0" fontId="35" fillId="0" borderId="17" xfId="1" applyFont="1" applyBorder="1" applyAlignment="1">
      <alignment vertical="center"/>
    </xf>
    <xf numFmtId="168" fontId="35" fillId="0" borderId="84" xfId="1" applyNumberFormat="1" applyFont="1" applyBorder="1" applyAlignment="1">
      <alignment horizontal="center" vertical="center"/>
    </xf>
    <xf numFmtId="0" fontId="38" fillId="0" borderId="85" xfId="1" applyFont="1" applyBorder="1" applyAlignment="1">
      <alignment horizontal="right" vertical="center"/>
    </xf>
    <xf numFmtId="0" fontId="34" fillId="4" borderId="86" xfId="1" applyFont="1" applyFill="1" applyBorder="1" applyAlignment="1" applyProtection="1">
      <alignment horizontal="center" vertical="center"/>
      <protection locked="0"/>
    </xf>
    <xf numFmtId="0" fontId="35" fillId="0" borderId="0" xfId="1" applyFont="1" applyAlignment="1">
      <alignment horizontal="right"/>
    </xf>
    <xf numFmtId="168" fontId="35" fillId="0" borderId="0" xfId="1" applyNumberFormat="1" applyFont="1" applyAlignment="1">
      <alignment horizontal="center"/>
    </xf>
    <xf numFmtId="9" fontId="35" fillId="0" borderId="17" xfId="1" applyNumberFormat="1" applyFont="1" applyBorder="1" applyAlignment="1">
      <alignment horizontal="center" vertical="center"/>
    </xf>
    <xf numFmtId="0" fontId="38" fillId="2" borderId="50" xfId="1" applyFont="1" applyFill="1" applyBorder="1" applyAlignment="1">
      <alignment horizontal="right" vertical="center"/>
    </xf>
    <xf numFmtId="0" fontId="52" fillId="4" borderId="80" xfId="1" applyFont="1" applyFill="1" applyBorder="1" applyAlignment="1" applyProtection="1">
      <alignment horizontal="center" vertical="center"/>
      <protection locked="0"/>
    </xf>
    <xf numFmtId="169" fontId="35" fillId="0" borderId="17" xfId="1" applyNumberFormat="1" applyFont="1" applyBorder="1" applyAlignment="1">
      <alignment horizontal="center" vertical="center"/>
    </xf>
    <xf numFmtId="0" fontId="1" fillId="0" borderId="36" xfId="1" applyBorder="1" applyAlignment="1" applyProtection="1">
      <alignment vertical="center"/>
      <protection locked="0"/>
    </xf>
    <xf numFmtId="0" fontId="38" fillId="0" borderId="51" xfId="1" applyFont="1" applyBorder="1" applyAlignment="1">
      <alignment horizontal="right" vertical="center"/>
    </xf>
    <xf numFmtId="0" fontId="59" fillId="4" borderId="86" xfId="1" applyFont="1" applyFill="1" applyBorder="1" applyAlignment="1" applyProtection="1">
      <alignment horizontal="center" vertical="center"/>
      <protection locked="0"/>
    </xf>
    <xf numFmtId="0" fontId="45" fillId="0" borderId="0" xfId="1" applyFont="1" applyAlignment="1">
      <alignment horizontal="center" vertical="center"/>
    </xf>
    <xf numFmtId="0" fontId="47" fillId="0" borderId="0" xfId="1" applyFont="1" applyAlignment="1">
      <alignment horizontal="center" vertical="center"/>
    </xf>
    <xf numFmtId="174" fontId="31" fillId="2" borderId="36" xfId="1" applyNumberFormat="1" applyFont="1" applyFill="1" applyBorder="1" applyAlignment="1">
      <alignment horizontal="center"/>
    </xf>
    <xf numFmtId="0" fontId="37" fillId="0" borderId="2" xfId="1" applyFont="1" applyBorder="1" applyAlignment="1">
      <alignment vertical="center"/>
    </xf>
    <xf numFmtId="0" fontId="37" fillId="0" borderId="0" xfId="1" applyFont="1" applyAlignment="1">
      <alignment horizontal="center" vertical="center"/>
    </xf>
    <xf numFmtId="0" fontId="45" fillId="0" borderId="42" xfId="1" applyFont="1" applyBorder="1" applyAlignment="1">
      <alignment horizontal="center" vertical="center"/>
    </xf>
    <xf numFmtId="168" fontId="35" fillId="4" borderId="24" xfId="1" applyNumberFormat="1" applyFont="1" applyFill="1" applyBorder="1" applyAlignment="1" applyProtection="1">
      <alignment horizontal="center" vertical="center"/>
      <protection locked="0"/>
    </xf>
    <xf numFmtId="0" fontId="45" fillId="0" borderId="36" xfId="1" applyFont="1" applyBorder="1" applyAlignment="1">
      <alignment horizontal="center" vertical="center"/>
    </xf>
    <xf numFmtId="0" fontId="37" fillId="0" borderId="87" xfId="1" applyFont="1" applyBorder="1" applyAlignment="1">
      <alignment horizontal="left" vertical="center"/>
    </xf>
    <xf numFmtId="0" fontId="34" fillId="0" borderId="88" xfId="1" applyFont="1" applyBorder="1" applyAlignment="1">
      <alignment vertical="center"/>
    </xf>
    <xf numFmtId="2" fontId="34" fillId="0" borderId="64" xfId="1" applyNumberFormat="1" applyFont="1" applyBorder="1" applyAlignment="1">
      <alignment vertical="center"/>
    </xf>
    <xf numFmtId="168" fontId="33" fillId="2" borderId="89" xfId="1" applyNumberFormat="1" applyFont="1" applyFill="1" applyBorder="1" applyAlignment="1">
      <alignment horizontal="center" vertical="center"/>
    </xf>
    <xf numFmtId="0" fontId="37" fillId="0" borderId="2" xfId="1" applyFont="1" applyBorder="1"/>
    <xf numFmtId="169" fontId="31" fillId="0" borderId="9" xfId="1" applyNumberFormat="1" applyFont="1" applyBorder="1" applyAlignment="1">
      <alignment horizontal="center" vertical="center"/>
    </xf>
    <xf numFmtId="174" fontId="31" fillId="0" borderId="44" xfId="1" applyNumberFormat="1" applyFont="1" applyBorder="1" applyAlignment="1">
      <alignment horizontal="left" vertical="center"/>
    </xf>
    <xf numFmtId="0" fontId="45" fillId="0" borderId="0" xfId="1" applyFont="1" applyAlignment="1">
      <alignment vertical="center"/>
    </xf>
    <xf numFmtId="0" fontId="45" fillId="0" borderId="0" xfId="1" applyFont="1"/>
    <xf numFmtId="168" fontId="45" fillId="0" borderId="9" xfId="1" applyNumberFormat="1" applyFont="1" applyBorder="1" applyAlignment="1">
      <alignment vertical="center"/>
    </xf>
    <xf numFmtId="0" fontId="37" fillId="0" borderId="90" xfId="1" applyFont="1" applyBorder="1" applyAlignment="1">
      <alignment horizontal="left" vertical="center"/>
    </xf>
    <xf numFmtId="0" fontId="34" fillId="0" borderId="40" xfId="1" applyFont="1" applyBorder="1" applyAlignment="1">
      <alignment vertical="center"/>
    </xf>
    <xf numFmtId="2" fontId="34" fillId="0" borderId="0" xfId="1" applyNumberFormat="1" applyFont="1" applyAlignment="1">
      <alignment vertical="center"/>
    </xf>
    <xf numFmtId="168" fontId="34" fillId="2" borderId="89" xfId="1" applyNumberFormat="1" applyFont="1" applyFill="1" applyBorder="1" applyAlignment="1">
      <alignment horizontal="center" vertical="center"/>
    </xf>
    <xf numFmtId="0" fontId="60" fillId="0" borderId="8" xfId="1" applyFont="1" applyBorder="1" applyAlignment="1">
      <alignment horizontal="left" vertical="center"/>
    </xf>
    <xf numFmtId="169" fontId="33" fillId="0" borderId="9" xfId="1" applyNumberFormat="1" applyFont="1" applyBorder="1" applyAlignment="1">
      <alignment horizontal="center" vertical="center"/>
    </xf>
    <xf numFmtId="174" fontId="31" fillId="0" borderId="3" xfId="1" applyNumberFormat="1" applyFont="1" applyBorder="1" applyAlignment="1">
      <alignment horizontal="left" vertical="center"/>
    </xf>
    <xf numFmtId="0" fontId="61" fillId="0" borderId="91" xfId="1" applyFont="1" applyBorder="1" applyAlignment="1" applyProtection="1">
      <alignment vertical="center"/>
      <protection locked="0"/>
    </xf>
    <xf numFmtId="0" fontId="1" fillId="0" borderId="3" xfId="1" applyBorder="1"/>
    <xf numFmtId="0" fontId="34" fillId="2" borderId="0" xfId="1" applyFont="1" applyFill="1" applyAlignment="1">
      <alignment vertical="center"/>
    </xf>
    <xf numFmtId="2" fontId="34" fillId="2" borderId="0" xfId="1" applyNumberFormat="1" applyFont="1" applyFill="1" applyAlignment="1">
      <alignment vertical="center"/>
    </xf>
    <xf numFmtId="15" fontId="1" fillId="0" borderId="36" xfId="1" applyNumberFormat="1" applyBorder="1" applyAlignment="1" applyProtection="1">
      <alignment vertical="center"/>
      <protection locked="0"/>
    </xf>
    <xf numFmtId="0" fontId="38" fillId="2" borderId="92" xfId="1" applyFont="1" applyFill="1" applyBorder="1" applyAlignment="1">
      <alignment vertical="center"/>
    </xf>
    <xf numFmtId="0" fontId="1" fillId="0" borderId="3" xfId="1" applyBorder="1" applyAlignment="1">
      <alignment vertical="center"/>
    </xf>
    <xf numFmtId="168" fontId="34" fillId="0" borderId="93" xfId="1" applyNumberFormat="1" applyFont="1" applyBorder="1" applyAlignment="1">
      <alignment horizontal="center" vertical="center"/>
    </xf>
    <xf numFmtId="0" fontId="38" fillId="2" borderId="0" xfId="1" applyFont="1" applyFill="1" applyAlignment="1">
      <alignment vertical="center"/>
    </xf>
    <xf numFmtId="168" fontId="34" fillId="0" borderId="0" xfId="1" applyNumberFormat="1" applyFont="1" applyAlignment="1">
      <alignment horizontal="center" vertical="center"/>
    </xf>
    <xf numFmtId="0" fontId="35" fillId="0" borderId="14" xfId="1" applyFont="1" applyBorder="1" applyAlignment="1">
      <alignment horizontal="center" vertical="center"/>
    </xf>
    <xf numFmtId="0" fontId="35" fillId="0" borderId="26" xfId="1" applyFont="1" applyBorder="1" applyAlignment="1">
      <alignment horizontal="center" vertical="center" wrapText="1"/>
    </xf>
    <xf numFmtId="0" fontId="35" fillId="0" borderId="27" xfId="1" applyFont="1" applyBorder="1" applyAlignment="1">
      <alignment horizontal="center" vertical="center"/>
    </xf>
    <xf numFmtId="168" fontId="1" fillId="3" borderId="75" xfId="1" applyNumberFormat="1" applyFill="1" applyBorder="1" applyAlignment="1" applyProtection="1">
      <alignment shrinkToFit="1"/>
      <protection locked="0"/>
    </xf>
    <xf numFmtId="168" fontId="35" fillId="3" borderId="75" xfId="1" applyNumberFormat="1" applyFont="1" applyFill="1" applyBorder="1" applyAlignment="1" applyProtection="1">
      <alignment shrinkToFit="1"/>
      <protection locked="0"/>
    </xf>
    <xf numFmtId="168" fontId="35" fillId="0" borderId="96" xfId="1" applyNumberFormat="1" applyFont="1" applyBorder="1" applyAlignment="1">
      <alignment shrinkToFit="1"/>
    </xf>
    <xf numFmtId="168" fontId="1" fillId="3" borderId="17" xfId="1" applyNumberFormat="1" applyFill="1" applyBorder="1" applyAlignment="1" applyProtection="1">
      <alignment shrinkToFit="1"/>
      <protection locked="0"/>
    </xf>
    <xf numFmtId="168" fontId="35" fillId="3" borderId="17" xfId="1" applyNumberFormat="1" applyFont="1" applyFill="1" applyBorder="1" applyAlignment="1" applyProtection="1">
      <alignment shrinkToFit="1"/>
      <protection locked="0"/>
    </xf>
    <xf numFmtId="168" fontId="35" fillId="0" borderId="97" xfId="1" applyNumberFormat="1" applyFont="1" applyBorder="1" applyAlignment="1">
      <alignment shrinkToFit="1"/>
    </xf>
    <xf numFmtId="168" fontId="1" fillId="3" borderId="23" xfId="1" applyNumberFormat="1" applyFill="1" applyBorder="1" applyAlignment="1" applyProtection="1">
      <alignment shrinkToFit="1"/>
      <protection locked="0"/>
    </xf>
    <xf numFmtId="168" fontId="35" fillId="3" borderId="23" xfId="1" applyNumberFormat="1" applyFont="1" applyFill="1" applyBorder="1" applyAlignment="1" applyProtection="1">
      <alignment shrinkToFit="1"/>
      <protection locked="0"/>
    </xf>
    <xf numFmtId="168" fontId="35" fillId="0" borderId="99" xfId="1" applyNumberFormat="1" applyFont="1" applyBorder="1" applyAlignment="1">
      <alignment shrinkToFit="1"/>
    </xf>
    <xf numFmtId="168" fontId="1" fillId="0" borderId="1" xfId="1" applyNumberFormat="1" applyBorder="1" applyAlignment="1">
      <alignment shrinkToFit="1"/>
    </xf>
    <xf numFmtId="168" fontId="1" fillId="0" borderId="9" xfId="1" applyNumberFormat="1" applyBorder="1" applyAlignment="1">
      <alignment shrinkToFit="1"/>
    </xf>
    <xf numFmtId="168" fontId="1" fillId="0" borderId="11" xfId="1" applyNumberFormat="1" applyBorder="1" applyAlignment="1">
      <alignment shrinkToFit="1"/>
    </xf>
    <xf numFmtId="2" fontId="1" fillId="0" borderId="0" xfId="1" applyNumberFormat="1"/>
    <xf numFmtId="0" fontId="39" fillId="0" borderId="0" xfId="1" applyFont="1" applyAlignment="1">
      <alignment horizontal="center"/>
    </xf>
    <xf numFmtId="0" fontId="52" fillId="0" borderId="0" xfId="1" applyFont="1"/>
    <xf numFmtId="0" fontId="59" fillId="0" borderId="0" xfId="1" applyFont="1"/>
    <xf numFmtId="168" fontId="59" fillId="0" borderId="0" xfId="1" applyNumberFormat="1" applyFont="1"/>
    <xf numFmtId="168" fontId="34" fillId="0" borderId="0" xfId="1" applyNumberFormat="1" applyFont="1"/>
    <xf numFmtId="2" fontId="25" fillId="0" borderId="0" xfId="1" applyNumberFormat="1" applyFont="1"/>
    <xf numFmtId="168" fontId="1" fillId="0" borderId="0" xfId="1" applyNumberFormat="1"/>
    <xf numFmtId="0" fontId="62" fillId="0" borderId="0" xfId="1" applyFont="1"/>
    <xf numFmtId="164" fontId="35" fillId="0" borderId="0" xfId="13" applyFont="1" applyFill="1"/>
    <xf numFmtId="0" fontId="29" fillId="0" borderId="95" xfId="1" applyFont="1" applyBorder="1" applyAlignment="1">
      <alignment horizontal="center" vertical="justify"/>
    </xf>
    <xf numFmtId="0" fontId="29" fillId="0" borderId="75" xfId="1" applyFont="1" applyBorder="1"/>
    <xf numFmtId="0" fontId="25" fillId="0" borderId="75" xfId="1" applyFont="1" applyBorder="1"/>
    <xf numFmtId="0" fontId="31" fillId="0" borderId="25" xfId="1" applyFont="1" applyBorder="1" applyAlignment="1">
      <alignment horizontal="center" vertical="justify"/>
    </xf>
    <xf numFmtId="0" fontId="63" fillId="0" borderId="26" xfId="1" applyFont="1" applyBorder="1" applyAlignment="1">
      <alignment horizontal="center" vertical="justify"/>
    </xf>
    <xf numFmtId="0" fontId="21" fillId="0" borderId="23" xfId="1" applyFont="1" applyBorder="1" applyAlignment="1">
      <alignment horizontal="center" vertical="justify"/>
    </xf>
    <xf numFmtId="0" fontId="21" fillId="0" borderId="26" xfId="1" applyFont="1" applyBorder="1" applyAlignment="1">
      <alignment horizontal="center" vertical="justify"/>
    </xf>
    <xf numFmtId="168" fontId="21" fillId="0" borderId="26" xfId="1" applyNumberFormat="1" applyFont="1" applyBorder="1" applyAlignment="1">
      <alignment horizontal="center" vertical="justify"/>
    </xf>
    <xf numFmtId="0" fontId="21" fillId="0" borderId="14" xfId="1" applyFont="1" applyBorder="1" applyAlignment="1">
      <alignment horizontal="center" vertical="justify"/>
    </xf>
    <xf numFmtId="0" fontId="21" fillId="0" borderId="32" xfId="1" applyFont="1" applyBorder="1" applyAlignment="1">
      <alignment horizontal="center" vertical="justify"/>
    </xf>
    <xf numFmtId="0" fontId="21" fillId="0" borderId="27" xfId="1" applyFont="1" applyBorder="1" applyAlignment="1">
      <alignment horizontal="center" vertical="justify"/>
    </xf>
    <xf numFmtId="164" fontId="16" fillId="0" borderId="0" xfId="13" applyFont="1" applyFill="1"/>
    <xf numFmtId="168" fontId="34" fillId="0" borderId="102" xfId="1" applyNumberFormat="1" applyFont="1" applyBorder="1"/>
    <xf numFmtId="0" fontId="1" fillId="0" borderId="105" xfId="1" applyBorder="1" applyAlignment="1">
      <alignment horizontal="center"/>
    </xf>
    <xf numFmtId="168" fontId="1" fillId="0" borderId="105" xfId="1" applyNumberFormat="1" applyBorder="1"/>
    <xf numFmtId="10" fontId="1" fillId="0" borderId="105" xfId="1" applyNumberFormat="1" applyBorder="1" applyAlignment="1">
      <alignment horizontal="center"/>
    </xf>
    <xf numFmtId="168" fontId="1" fillId="0" borderId="106" xfId="1" applyNumberFormat="1" applyBorder="1"/>
    <xf numFmtId="0" fontId="64" fillId="0" borderId="0" xfId="1" applyFont="1"/>
    <xf numFmtId="164" fontId="65" fillId="0" borderId="0" xfId="13" applyFont="1" applyFill="1"/>
    <xf numFmtId="168" fontId="34" fillId="0" borderId="107" xfId="1" applyNumberFormat="1" applyFont="1" applyBorder="1"/>
    <xf numFmtId="0" fontId="1" fillId="0" borderId="110" xfId="1" applyBorder="1" applyAlignment="1">
      <alignment horizontal="center"/>
    </xf>
    <xf numFmtId="168" fontId="1" fillId="0" borderId="110" xfId="1" applyNumberFormat="1" applyBorder="1"/>
    <xf numFmtId="10" fontId="1" fillId="0" borderId="110" xfId="1" applyNumberFormat="1" applyBorder="1" applyAlignment="1">
      <alignment horizontal="center"/>
    </xf>
    <xf numFmtId="168" fontId="1" fillId="0" borderId="111" xfId="1" applyNumberFormat="1" applyBorder="1"/>
    <xf numFmtId="0" fontId="12" fillId="0" borderId="0" xfId="1" applyFont="1"/>
    <xf numFmtId="168" fontId="34" fillId="0" borderId="112" xfId="1" applyNumberFormat="1" applyFont="1" applyBorder="1"/>
    <xf numFmtId="0" fontId="1" fillId="0" borderId="115" xfId="1" applyBorder="1" applyAlignment="1">
      <alignment horizontal="center"/>
    </xf>
    <xf numFmtId="168" fontId="1" fillId="0" borderId="115" xfId="1" applyNumberFormat="1" applyBorder="1"/>
    <xf numFmtId="0" fontId="1" fillId="0" borderId="115" xfId="1" applyBorder="1"/>
    <xf numFmtId="168" fontId="1" fillId="0" borderId="116" xfId="1" applyNumberFormat="1" applyBorder="1"/>
    <xf numFmtId="0" fontId="1" fillId="0" borderId="117" xfId="1" applyBorder="1"/>
    <xf numFmtId="0" fontId="1" fillId="0" borderId="118" xfId="1" applyBorder="1"/>
    <xf numFmtId="0" fontId="1" fillId="0" borderId="119" xfId="1" applyBorder="1"/>
    <xf numFmtId="0" fontId="1" fillId="0" borderId="10" xfId="1" applyBorder="1"/>
    <xf numFmtId="0" fontId="21" fillId="0" borderId="28" xfId="1" applyFont="1" applyBorder="1"/>
    <xf numFmtId="168" fontId="1" fillId="0" borderId="29" xfId="1" applyNumberFormat="1" applyBorder="1"/>
    <xf numFmtId="10" fontId="1" fillId="0" borderId="29" xfId="1" applyNumberFormat="1" applyBorder="1" applyAlignment="1">
      <alignment horizontal="center"/>
    </xf>
    <xf numFmtId="168" fontId="1" fillId="0" borderId="33" xfId="1" applyNumberFormat="1" applyBorder="1"/>
    <xf numFmtId="168" fontId="1" fillId="0" borderId="30" xfId="1" applyNumberFormat="1" applyBorder="1"/>
    <xf numFmtId="0" fontId="1" fillId="0" borderId="0" xfId="1" applyAlignment="1">
      <alignment horizontal="center"/>
    </xf>
    <xf numFmtId="0" fontId="25" fillId="0" borderId="0" xfId="14" applyFont="1" applyAlignment="1"/>
    <xf numFmtId="0" fontId="22" fillId="0" borderId="0" xfId="14" applyFont="1" applyAlignment="1">
      <alignment horizontal="left"/>
    </xf>
    <xf numFmtId="0" fontId="23" fillId="0" borderId="0" xfId="14" applyFont="1" applyAlignment="1">
      <alignment horizontal="centerContinuous"/>
    </xf>
    <xf numFmtId="0" fontId="27" fillId="0" borderId="0" xfId="14" applyFont="1" applyAlignment="1">
      <alignment horizontal="centerContinuous"/>
    </xf>
    <xf numFmtId="0" fontId="29" fillId="0" borderId="0" xfId="14" applyFont="1" applyAlignment="1"/>
    <xf numFmtId="0" fontId="29" fillId="7" borderId="36" xfId="14" applyFont="1" applyFill="1" applyBorder="1" applyAlignment="1" applyProtection="1">
      <protection locked="0"/>
    </xf>
    <xf numFmtId="0" fontId="29" fillId="0" borderId="0" xfId="14" applyFont="1" applyAlignment="1" applyProtection="1">
      <protection locked="0"/>
    </xf>
    <xf numFmtId="0" fontId="28" fillId="0" borderId="0" xfId="14" applyFont="1" applyAlignment="1"/>
    <xf numFmtId="0" fontId="28" fillId="0" borderId="121" xfId="14" applyFont="1" applyBorder="1" applyAlignment="1">
      <alignment vertical="center"/>
    </xf>
    <xf numFmtId="0" fontId="68" fillId="0" borderId="122" xfId="14" applyFont="1" applyBorder="1" applyAlignment="1"/>
    <xf numFmtId="0" fontId="68" fillId="0" borderId="123" xfId="14" applyFont="1" applyBorder="1" applyAlignment="1"/>
    <xf numFmtId="0" fontId="41" fillId="0" borderId="0" xfId="14" applyFont="1" applyAlignment="1">
      <alignment vertical="center"/>
    </xf>
    <xf numFmtId="0" fontId="39" fillId="0" borderId="0" xfId="14" applyFont="1" applyAlignment="1"/>
    <xf numFmtId="0" fontId="68" fillId="0" borderId="124" xfId="14" applyFont="1" applyBorder="1" applyAlignment="1" applyProtection="1">
      <alignment vertical="center"/>
      <protection locked="0"/>
    </xf>
    <xf numFmtId="0" fontId="68" fillId="0" borderId="0" xfId="14" applyFont="1" applyAlignment="1" applyProtection="1">
      <protection locked="0"/>
    </xf>
    <xf numFmtId="0" fontId="68" fillId="0" borderId="0" xfId="14" applyFont="1" applyAlignment="1"/>
    <xf numFmtId="0" fontId="68" fillId="0" borderId="125" xfId="14" applyFont="1" applyBorder="1" applyAlignment="1" applyProtection="1">
      <protection locked="0"/>
    </xf>
    <xf numFmtId="0" fontId="39" fillId="0" borderId="0" xfId="14" applyFont="1" applyAlignment="1" applyProtection="1">
      <protection locked="0"/>
    </xf>
    <xf numFmtId="0" fontId="68" fillId="0" borderId="0" xfId="14" applyFont="1" applyAlignment="1" applyProtection="1">
      <alignment horizontal="left"/>
      <protection locked="0"/>
    </xf>
    <xf numFmtId="0" fontId="68" fillId="0" borderId="0" xfId="14" applyFont="1" applyAlignment="1" applyProtection="1">
      <alignment horizontal="center"/>
      <protection locked="0"/>
    </xf>
    <xf numFmtId="0" fontId="68" fillId="0" borderId="126" xfId="14" applyFont="1" applyBorder="1" applyAlignment="1" applyProtection="1">
      <protection locked="0"/>
    </xf>
    <xf numFmtId="0" fontId="39" fillId="0" borderId="0" xfId="14" applyFont="1" applyAlignment="1" applyProtection="1">
      <alignment vertical="center"/>
      <protection locked="0"/>
    </xf>
    <xf numFmtId="0" fontId="28" fillId="0" borderId="0" xfId="14" applyFont="1" applyAlignment="1" applyProtection="1">
      <alignment horizontal="center" vertical="center"/>
      <protection locked="0"/>
    </xf>
    <xf numFmtId="0" fontId="28" fillId="0" borderId="6" xfId="14" applyFont="1" applyBorder="1" applyAlignment="1">
      <alignment vertical="center"/>
    </xf>
    <xf numFmtId="0" fontId="68" fillId="0" borderId="14" xfId="14" applyFont="1" applyBorder="1" applyAlignment="1"/>
    <xf numFmtId="0" fontId="68" fillId="0" borderId="14" xfId="14" applyFont="1" applyBorder="1" applyAlignment="1" applyProtection="1">
      <alignment vertical="center"/>
      <protection locked="0"/>
    </xf>
    <xf numFmtId="0" fontId="68" fillId="0" borderId="14" xfId="14" applyFont="1" applyBorder="1" applyAlignment="1">
      <alignment horizontal="center"/>
    </xf>
    <xf numFmtId="0" fontId="68" fillId="0" borderId="14" xfId="14" applyFont="1" applyBorder="1" applyAlignment="1" applyProtection="1">
      <protection locked="0"/>
    </xf>
    <xf numFmtId="0" fontId="68" fillId="0" borderId="15" xfId="14" applyFont="1" applyBorder="1" applyAlignment="1"/>
    <xf numFmtId="0" fontId="68" fillId="0" borderId="2" xfId="14" applyFont="1" applyBorder="1" applyAlignment="1" applyProtection="1">
      <protection locked="0"/>
    </xf>
    <xf numFmtId="0" fontId="68" fillId="0" borderId="12" xfId="14" applyFont="1" applyBorder="1" applyAlignment="1" applyProtection="1">
      <protection locked="0"/>
    </xf>
    <xf numFmtId="0" fontId="68" fillId="0" borderId="3" xfId="14" applyFont="1" applyBorder="1" applyAlignment="1" applyProtection="1">
      <protection locked="0"/>
    </xf>
    <xf numFmtId="0" fontId="28" fillId="0" borderId="0" xfId="14" applyFont="1" applyAlignment="1" applyProtection="1">
      <alignment horizontal="center"/>
      <protection locked="0"/>
    </xf>
    <xf numFmtId="0" fontId="28" fillId="0" borderId="3" xfId="14" applyFont="1" applyBorder="1" applyAlignment="1" applyProtection="1">
      <alignment horizontal="center" vertical="center"/>
      <protection locked="0"/>
    </xf>
    <xf numFmtId="0" fontId="68" fillId="0" borderId="16" xfId="14" applyFont="1" applyBorder="1" applyAlignment="1" applyProtection="1">
      <protection locked="0"/>
    </xf>
    <xf numFmtId="0" fontId="28" fillId="0" borderId="3" xfId="14" applyFont="1" applyBorder="1" applyAlignment="1" applyProtection="1">
      <alignment horizontal="center"/>
      <protection locked="0"/>
    </xf>
    <xf numFmtId="0" fontId="28" fillId="0" borderId="2" xfId="14" applyFont="1" applyBorder="1" applyAlignment="1" applyProtection="1">
      <alignment horizontal="left" vertical="center"/>
      <protection locked="0"/>
    </xf>
    <xf numFmtId="0" fontId="28" fillId="0" borderId="2" xfId="14" applyFont="1" applyBorder="1" applyAlignment="1">
      <alignment vertical="center"/>
    </xf>
    <xf numFmtId="0" fontId="30" fillId="0" borderId="0" xfId="14" applyFont="1" applyAlignment="1" applyProtection="1">
      <alignment vertical="center"/>
      <protection locked="0"/>
    </xf>
    <xf numFmtId="0" fontId="30" fillId="0" borderId="0" xfId="14" applyFont="1" applyAlignment="1" applyProtection="1">
      <protection locked="0"/>
    </xf>
    <xf numFmtId="0" fontId="30" fillId="0" borderId="0" xfId="14" applyFont="1" applyAlignment="1" applyProtection="1">
      <alignment horizontal="left" vertical="center"/>
      <protection locked="0"/>
    </xf>
    <xf numFmtId="0" fontId="30" fillId="0" borderId="0" xfId="14" applyFont="1" applyAlignment="1" applyProtection="1">
      <alignment horizontal="center" vertical="center"/>
      <protection locked="0"/>
    </xf>
    <xf numFmtId="0" fontId="25" fillId="0" borderId="0" xfId="14" applyFont="1" applyAlignment="1" applyProtection="1">
      <protection locked="0"/>
    </xf>
    <xf numFmtId="0" fontId="28" fillId="0" borderId="0" xfId="14" applyFont="1" applyAlignment="1" applyProtection="1">
      <protection locked="0"/>
    </xf>
    <xf numFmtId="168" fontId="25" fillId="0" borderId="0" xfId="14" applyNumberFormat="1" applyFont="1" applyAlignment="1" applyProtection="1">
      <alignment horizontal="left" vertical="center"/>
      <protection locked="0"/>
    </xf>
    <xf numFmtId="0" fontId="28" fillId="0" borderId="2" xfId="14" applyFont="1" applyBorder="1" applyAlignment="1" applyProtection="1">
      <protection locked="0"/>
    </xf>
    <xf numFmtId="0" fontId="30" fillId="0" borderId="0" xfId="14" applyFont="1" applyAlignment="1" applyProtection="1">
      <alignment horizontal="left"/>
      <protection locked="0"/>
    </xf>
    <xf numFmtId="0" fontId="28" fillId="0" borderId="8" xfId="14" applyFont="1" applyBorder="1" applyAlignment="1" applyProtection="1">
      <alignment horizontal="left" vertical="center"/>
      <protection locked="0"/>
    </xf>
    <xf numFmtId="0" fontId="28" fillId="0" borderId="3" xfId="14" applyFont="1" applyBorder="1" applyAlignment="1" applyProtection="1">
      <alignment horizontal="left" vertical="center"/>
      <protection locked="0"/>
    </xf>
    <xf numFmtId="0" fontId="39" fillId="0" borderId="0" xfId="14" applyFont="1" applyAlignment="1" applyProtection="1">
      <alignment horizontal="left" vertical="center"/>
      <protection locked="0"/>
    </xf>
    <xf numFmtId="0" fontId="30" fillId="0" borderId="128" xfId="14" applyFont="1" applyBorder="1" applyAlignment="1" applyProtection="1">
      <alignment vertical="center"/>
      <protection locked="0"/>
    </xf>
    <xf numFmtId="0" fontId="39" fillId="0" borderId="129" xfId="14" applyFont="1" applyBorder="1" applyAlignment="1" applyProtection="1">
      <protection locked="0"/>
    </xf>
    <xf numFmtId="0" fontId="25" fillId="0" borderId="129" xfId="14" applyFont="1" applyBorder="1" applyAlignment="1" applyProtection="1">
      <protection locked="0"/>
    </xf>
    <xf numFmtId="0" fontId="30" fillId="0" borderId="130" xfId="14" applyFont="1" applyBorder="1" applyAlignment="1" applyProtection="1">
      <alignment horizontal="center" vertical="center"/>
      <protection locked="0"/>
    </xf>
    <xf numFmtId="0" fontId="25" fillId="0" borderId="131" xfId="14" applyFont="1" applyBorder="1" applyAlignment="1" applyProtection="1">
      <protection locked="0"/>
    </xf>
    <xf numFmtId="0" fontId="25" fillId="9" borderId="124" xfId="14" applyFont="1" applyFill="1" applyBorder="1" applyAlignment="1"/>
    <xf numFmtId="0" fontId="25" fillId="9" borderId="0" xfId="14" applyFont="1" applyFill="1" applyAlignment="1"/>
    <xf numFmtId="0" fontId="25" fillId="9" borderId="125" xfId="14" applyFont="1" applyFill="1" applyBorder="1" applyAlignment="1"/>
    <xf numFmtId="0" fontId="41" fillId="9" borderId="124" xfId="14" applyFont="1" applyFill="1" applyBorder="1" applyAlignment="1">
      <alignment horizontal="center" vertical="center"/>
    </xf>
    <xf numFmtId="14" fontId="69" fillId="9" borderId="0" xfId="14" applyNumberFormat="1" applyFont="1" applyFill="1" applyAlignment="1" applyProtection="1">
      <alignment horizontal="center" vertical="center"/>
      <protection locked="0"/>
    </xf>
    <xf numFmtId="2" fontId="69" fillId="9" borderId="0" xfId="14" applyNumberFormat="1" applyFont="1" applyFill="1" applyAlignment="1" applyProtection="1">
      <alignment horizontal="right" vertical="center"/>
      <protection locked="0"/>
    </xf>
    <xf numFmtId="2" fontId="69" fillId="9" borderId="0" xfId="14" applyNumberFormat="1" applyFont="1" applyFill="1" applyAlignment="1">
      <alignment horizontal="center" vertical="center"/>
    </xf>
    <xf numFmtId="0" fontId="41" fillId="9" borderId="0" xfId="14" applyFont="1" applyFill="1" applyAlignment="1">
      <alignment horizontal="center" vertical="center"/>
    </xf>
    <xf numFmtId="0" fontId="25" fillId="10" borderId="0" xfId="14" applyFont="1" applyFill="1" applyAlignment="1"/>
    <xf numFmtId="0" fontId="25" fillId="10" borderId="126" xfId="14" applyFont="1" applyFill="1" applyBorder="1" applyAlignment="1"/>
    <xf numFmtId="0" fontId="28" fillId="0" borderId="6" xfId="14" applyFont="1" applyBorder="1" applyAlignment="1"/>
    <xf numFmtId="0" fontId="39" fillId="0" borderId="14" xfId="14" applyFont="1" applyBorder="1" applyAlignment="1"/>
    <xf numFmtId="0" fontId="23" fillId="11" borderId="14" xfId="14" applyFont="1" applyFill="1" applyBorder="1" applyAlignment="1">
      <alignment horizontal="center" vertical="center"/>
    </xf>
    <xf numFmtId="0" fontId="23" fillId="8" borderId="132" xfId="14" applyFont="1" applyFill="1" applyBorder="1" applyAlignment="1" applyProtection="1">
      <alignment horizontal="center"/>
      <protection locked="0"/>
    </xf>
    <xf numFmtId="0" fontId="23" fillId="11" borderId="14" xfId="14" applyFont="1" applyFill="1" applyBorder="1" applyAlignment="1" applyProtection="1">
      <alignment horizontal="center"/>
      <protection locked="0"/>
    </xf>
    <xf numFmtId="0" fontId="70" fillId="0" borderId="75" xfId="14" applyFont="1" applyBorder="1" applyAlignment="1">
      <alignment horizontal="centerContinuous" vertical="center" wrapText="1"/>
    </xf>
    <xf numFmtId="0" fontId="41" fillId="0" borderId="96" xfId="14" applyFont="1" applyBorder="1" applyAlignment="1">
      <alignment horizontal="center" vertical="center" wrapText="1"/>
    </xf>
    <xf numFmtId="4" fontId="68" fillId="0" borderId="2" xfId="14" applyNumberFormat="1" applyFont="1" applyBorder="1" applyAlignment="1">
      <alignment horizontal="right"/>
    </xf>
    <xf numFmtId="4" fontId="68" fillId="0" borderId="0" xfId="14" applyNumberFormat="1" applyFont="1" applyAlignment="1">
      <alignment horizontal="right"/>
    </xf>
    <xf numFmtId="0" fontId="41" fillId="0" borderId="12" xfId="14" applyFont="1" applyBorder="1" applyAlignment="1">
      <alignment horizontal="center" vertical="center" wrapText="1"/>
    </xf>
    <xf numFmtId="0" fontId="30" fillId="0" borderId="12" xfId="14" applyFont="1" applyBorder="1" applyAlignment="1">
      <alignment horizontal="center"/>
    </xf>
    <xf numFmtId="0" fontId="41" fillId="0" borderId="0" xfId="14" applyFont="1" applyAlignment="1"/>
    <xf numFmtId="0" fontId="30" fillId="0" borderId="0" xfId="14" applyFont="1" applyAlignment="1">
      <alignment horizontal="center"/>
    </xf>
    <xf numFmtId="0" fontId="71" fillId="13" borderId="0" xfId="14" applyFont="1" applyFill="1" applyAlignment="1">
      <alignment horizontal="right"/>
    </xf>
    <xf numFmtId="0" fontId="30" fillId="13" borderId="0" xfId="14" applyFont="1" applyFill="1" applyAlignment="1">
      <alignment horizontal="center"/>
    </xf>
    <xf numFmtId="0" fontId="71" fillId="13" borderId="0" xfId="14" applyFont="1" applyFill="1" applyAlignment="1"/>
    <xf numFmtId="0" fontId="41" fillId="0" borderId="6" xfId="14" applyFont="1" applyBorder="1" applyAlignment="1"/>
    <xf numFmtId="0" fontId="41" fillId="0" borderId="133" xfId="14" applyFont="1" applyBorder="1" applyAlignment="1"/>
    <xf numFmtId="0" fontId="39" fillId="0" borderId="133" xfId="14" applyFont="1" applyBorder="1" applyAlignment="1"/>
    <xf numFmtId="0" fontId="39" fillId="11" borderId="133" xfId="14" applyFont="1" applyFill="1" applyBorder="1" applyAlignment="1"/>
    <xf numFmtId="0" fontId="39" fillId="11" borderId="133" xfId="14" applyFont="1" applyFill="1" applyBorder="1" applyAlignment="1">
      <alignment horizontal="right"/>
    </xf>
    <xf numFmtId="0" fontId="39" fillId="0" borderId="26" xfId="14" applyFont="1" applyBorder="1" applyAlignment="1">
      <alignment horizontal="centerContinuous"/>
    </xf>
    <xf numFmtId="0" fontId="41" fillId="11" borderId="15" xfId="14" applyFont="1" applyFill="1" applyBorder="1" applyAlignment="1">
      <alignment horizontal="center" vertical="center"/>
    </xf>
    <xf numFmtId="0" fontId="41" fillId="0" borderId="2" xfId="14" applyFont="1" applyBorder="1" applyAlignment="1"/>
    <xf numFmtId="0" fontId="39" fillId="11" borderId="0" xfId="14" applyFont="1" applyFill="1" applyAlignment="1">
      <alignment horizontal="center"/>
    </xf>
    <xf numFmtId="0" fontId="39" fillId="11" borderId="0" xfId="14" applyFont="1" applyFill="1" applyAlignment="1"/>
    <xf numFmtId="0" fontId="39" fillId="11" borderId="0" xfId="14" applyFont="1" applyFill="1" applyAlignment="1">
      <alignment horizontal="right"/>
    </xf>
    <xf numFmtId="0" fontId="39" fillId="11" borderId="0" xfId="14" applyFont="1" applyFill="1" applyAlignment="1">
      <alignment horizontal="centerContinuous"/>
    </xf>
    <xf numFmtId="0" fontId="39" fillId="0" borderId="19" xfId="14" applyFont="1" applyBorder="1" applyAlignment="1">
      <alignment horizontal="centerContinuous"/>
    </xf>
    <xf numFmtId="0" fontId="41" fillId="11" borderId="12" xfId="14" applyFont="1" applyFill="1" applyBorder="1" applyAlignment="1">
      <alignment horizontal="center" vertical="center"/>
    </xf>
    <xf numFmtId="0" fontId="70" fillId="0" borderId="2" xfId="14" applyFont="1" applyBorder="1" applyAlignment="1"/>
    <xf numFmtId="0" fontId="39" fillId="12" borderId="17" xfId="14" applyFont="1" applyFill="1" applyBorder="1" applyAlignment="1" applyProtection="1">
      <alignment horizontal="center" vertical="center"/>
      <protection locked="0"/>
    </xf>
    <xf numFmtId="0" fontId="72" fillId="11" borderId="55" xfId="14" applyFont="1" applyFill="1" applyBorder="1" applyAlignment="1"/>
    <xf numFmtId="0" fontId="73" fillId="11" borderId="81" xfId="14" applyFont="1" applyFill="1" applyBorder="1" applyAlignment="1">
      <alignment horizontal="right"/>
    </xf>
    <xf numFmtId="4" fontId="73" fillId="11" borderId="56" xfId="14" applyNumberFormat="1" applyFont="1" applyFill="1" applyBorder="1" applyAlignment="1">
      <alignment horizontal="center"/>
    </xf>
    <xf numFmtId="4" fontId="73" fillId="8" borderId="56" xfId="14" applyNumberFormat="1" applyFont="1" applyFill="1" applyBorder="1" applyAlignment="1">
      <alignment horizontal="center"/>
    </xf>
    <xf numFmtId="0" fontId="39" fillId="0" borderId="0" xfId="14" applyFont="1" applyAlignment="1">
      <alignment horizontal="centerContinuous"/>
    </xf>
    <xf numFmtId="0" fontId="25" fillId="0" borderId="19" xfId="14" applyFont="1" applyBorder="1" applyAlignment="1"/>
    <xf numFmtId="0" fontId="39" fillId="0" borderId="12" xfId="14" applyFont="1" applyBorder="1" applyAlignment="1">
      <alignment horizontal="centerContinuous"/>
    </xf>
    <xf numFmtId="0" fontId="39" fillId="11" borderId="0" xfId="14" applyFont="1" applyFill="1" applyAlignment="1" applyProtection="1">
      <alignment horizontal="center" vertical="center"/>
      <protection locked="0"/>
    </xf>
    <xf numFmtId="0" fontId="29" fillId="0" borderId="19" xfId="14" applyFont="1" applyBorder="1" applyAlignment="1">
      <alignment horizontal="center"/>
    </xf>
    <xf numFmtId="0" fontId="25" fillId="0" borderId="31" xfId="14" applyFont="1" applyBorder="1" applyAlignment="1"/>
    <xf numFmtId="170" fontId="71" fillId="0" borderId="0" xfId="14" applyNumberFormat="1" applyFont="1" applyAlignment="1">
      <alignment horizontal="center"/>
    </xf>
    <xf numFmtId="0" fontId="25" fillId="11" borderId="0" xfId="14" applyFont="1" applyFill="1" applyAlignment="1"/>
    <xf numFmtId="0" fontId="25" fillId="0" borderId="0" xfId="14" applyFont="1" applyAlignment="1">
      <alignment horizontal="right"/>
    </xf>
    <xf numFmtId="168" fontId="68" fillId="15" borderId="17" xfId="14" applyNumberFormat="1" applyFont="1" applyFill="1" applyBorder="1" applyAlignment="1" applyProtection="1">
      <alignment horizontal="right"/>
      <protection locked="0"/>
    </xf>
    <xf numFmtId="168" fontId="28" fillId="6" borderId="12" xfId="14" applyNumberFormat="1" applyFont="1" applyFill="1" applyBorder="1" applyAlignment="1">
      <alignment horizontal="right"/>
    </xf>
    <xf numFmtId="0" fontId="29" fillId="11" borderId="0" xfId="14" applyFont="1" applyFill="1" applyAlignment="1"/>
    <xf numFmtId="168" fontId="28" fillId="8" borderId="17" xfId="14" applyNumberFormat="1" applyFont="1" applyFill="1" applyBorder="1" applyAlignment="1">
      <alignment horizontal="right"/>
    </xf>
    <xf numFmtId="0" fontId="39" fillId="0" borderId="12" xfId="14" applyFont="1" applyBorder="1" applyAlignment="1">
      <alignment horizontal="left"/>
    </xf>
    <xf numFmtId="0" fontId="41" fillId="0" borderId="8" xfId="14" applyFont="1" applyBorder="1" applyAlignment="1"/>
    <xf numFmtId="0" fontId="68" fillId="0" borderId="3" xfId="14" applyFont="1" applyBorder="1" applyAlignment="1"/>
    <xf numFmtId="0" fontId="39" fillId="0" borderId="3" xfId="14" applyFont="1" applyBorder="1" applyAlignment="1"/>
    <xf numFmtId="0" fontId="39" fillId="12" borderId="76" xfId="14" applyFont="1" applyFill="1" applyBorder="1" applyAlignment="1" applyProtection="1">
      <alignment horizontal="center" vertical="center"/>
      <protection locked="0"/>
    </xf>
    <xf numFmtId="0" fontId="39" fillId="11" borderId="3" xfId="14" applyFont="1" applyFill="1" applyBorder="1" applyAlignment="1" applyProtection="1">
      <alignment horizontal="center" vertical="center"/>
      <protection locked="0"/>
    </xf>
    <xf numFmtId="0" fontId="39" fillId="11" borderId="3" xfId="14" applyFont="1" applyFill="1" applyBorder="1" applyAlignment="1"/>
    <xf numFmtId="0" fontId="25" fillId="0" borderId="3" xfId="14" applyFont="1" applyBorder="1" applyAlignment="1">
      <alignment horizontal="right"/>
    </xf>
    <xf numFmtId="0" fontId="39" fillId="0" borderId="3" xfId="14" applyFont="1" applyBorder="1" applyAlignment="1">
      <alignment horizontal="centerContinuous"/>
    </xf>
    <xf numFmtId="0" fontId="39" fillId="0" borderId="29" xfId="14" applyFont="1" applyBorder="1" applyAlignment="1">
      <alignment horizontal="centerContinuous"/>
    </xf>
    <xf numFmtId="0" fontId="39" fillId="0" borderId="16" xfId="14" applyFont="1" applyBorder="1" applyAlignment="1">
      <alignment horizontal="centerContinuous"/>
    </xf>
    <xf numFmtId="0" fontId="41" fillId="0" borderId="135" xfId="14" applyFont="1" applyBorder="1" applyAlignment="1"/>
    <xf numFmtId="0" fontId="41" fillId="11" borderId="135" xfId="14" applyFont="1" applyFill="1" applyBorder="1" applyAlignment="1"/>
    <xf numFmtId="0" fontId="39" fillId="0" borderId="136" xfId="14" applyFont="1" applyBorder="1" applyAlignment="1">
      <alignment horizontal="center"/>
    </xf>
    <xf numFmtId="0" fontId="39" fillId="0" borderId="0" xfId="14" applyFont="1" applyAlignment="1" applyProtection="1">
      <alignment horizontal="center"/>
      <protection locked="0"/>
    </xf>
    <xf numFmtId="0" fontId="39" fillId="0" borderId="0" xfId="14" applyFont="1" applyAlignment="1">
      <alignment horizontal="center"/>
    </xf>
    <xf numFmtId="0" fontId="74" fillId="0" borderId="0" xfId="14" applyFont="1" applyAlignment="1">
      <alignment horizontal="center" vertical="center"/>
    </xf>
    <xf numFmtId="0" fontId="74" fillId="0" borderId="0" xfId="14" applyFont="1" applyAlignment="1">
      <alignment horizontal="center" vertical="center" wrapText="1"/>
    </xf>
    <xf numFmtId="2" fontId="30" fillId="11" borderId="0" xfId="14" applyNumberFormat="1" applyFont="1" applyFill="1" applyAlignment="1">
      <alignment horizontal="center" vertical="center"/>
    </xf>
    <xf numFmtId="0" fontId="25" fillId="0" borderId="2" xfId="14" applyFont="1" applyBorder="1" applyAlignment="1"/>
    <xf numFmtId="4" fontId="68" fillId="15" borderId="17" xfId="14" applyNumberFormat="1" applyFont="1" applyFill="1" applyBorder="1" applyAlignment="1" applyProtection="1">
      <alignment horizontal="right"/>
      <protection locked="0"/>
    </xf>
    <xf numFmtId="0" fontId="41" fillId="11" borderId="31" xfId="14" applyFont="1" applyFill="1" applyBorder="1" applyAlignment="1">
      <alignment horizontal="center" vertical="center"/>
    </xf>
    <xf numFmtId="4" fontId="68" fillId="0" borderId="0" xfId="14" applyNumberFormat="1" applyFont="1" applyAlignment="1" applyProtection="1">
      <alignment horizontal="right"/>
      <protection locked="0"/>
    </xf>
    <xf numFmtId="14" fontId="69" fillId="0" borderId="0" xfId="14" applyNumberFormat="1" applyFont="1" applyAlignment="1" applyProtection="1">
      <alignment horizontal="center" vertical="center"/>
      <protection locked="0"/>
    </xf>
    <xf numFmtId="2" fontId="71" fillId="0" borderId="0" xfId="14" applyNumberFormat="1" applyFont="1" applyAlignment="1" applyProtection="1">
      <alignment horizontal="right" vertical="center"/>
      <protection locked="0"/>
    </xf>
    <xf numFmtId="0" fontId="41" fillId="0" borderId="0" xfId="14" applyFont="1" applyAlignment="1">
      <alignment horizontal="center" vertical="center"/>
    </xf>
    <xf numFmtId="14" fontId="75" fillId="0" borderId="0" xfId="14" applyNumberFormat="1" applyFont="1" applyAlignment="1" applyProtection="1">
      <alignment horizontal="center" vertical="center"/>
      <protection locked="0"/>
    </xf>
    <xf numFmtId="4" fontId="68" fillId="15" borderId="137" xfId="14" applyNumberFormat="1" applyFont="1" applyFill="1" applyBorder="1" applyAlignment="1" applyProtection="1">
      <alignment horizontal="right"/>
      <protection locked="0"/>
    </xf>
    <xf numFmtId="2" fontId="30" fillId="11" borderId="0" xfId="14" applyNumberFormat="1" applyFont="1" applyFill="1" applyAlignment="1">
      <alignment horizontal="right" vertical="center"/>
    </xf>
    <xf numFmtId="0" fontId="39" fillId="0" borderId="0" xfId="14" applyFont="1" applyAlignment="1">
      <alignment horizontal="left"/>
    </xf>
    <xf numFmtId="4" fontId="68" fillId="8" borderId="138" xfId="14" applyNumberFormat="1" applyFont="1" applyFill="1" applyBorder="1" applyAlignment="1">
      <alignment horizontal="right"/>
    </xf>
    <xf numFmtId="2" fontId="41" fillId="0" borderId="0" xfId="14" applyNumberFormat="1" applyFont="1" applyAlignment="1"/>
    <xf numFmtId="0" fontId="41" fillId="0" borderId="0" xfId="14" applyFont="1" applyAlignment="1">
      <alignment horizontal="left"/>
    </xf>
    <xf numFmtId="4" fontId="68" fillId="6" borderId="139" xfId="14" applyNumberFormat="1" applyFont="1" applyFill="1" applyBorder="1" applyAlignment="1">
      <alignment horizontal="right"/>
    </xf>
    <xf numFmtId="4" fontId="68" fillId="6" borderId="17" xfId="14" applyNumberFormat="1" applyFont="1" applyFill="1" applyBorder="1" applyAlignment="1">
      <alignment horizontal="right"/>
    </xf>
    <xf numFmtId="0" fontId="39" fillId="0" borderId="2" xfId="14" applyFont="1" applyBorder="1" applyAlignment="1"/>
    <xf numFmtId="0" fontId="28" fillId="0" borderId="0" xfId="14" applyFont="1" applyAlignment="1">
      <alignment horizontal="left"/>
    </xf>
    <xf numFmtId="4" fontId="28" fillId="6" borderId="140" xfId="14" applyNumberFormat="1" applyFont="1" applyFill="1" applyBorder="1" applyAlignment="1">
      <alignment horizontal="right"/>
    </xf>
    <xf numFmtId="168" fontId="28" fillId="8" borderId="12" xfId="14" applyNumberFormat="1" applyFont="1" applyFill="1" applyBorder="1" applyAlignment="1">
      <alignment horizontal="right" vertical="center"/>
    </xf>
    <xf numFmtId="4" fontId="28" fillId="0" borderId="0" xfId="14" applyNumberFormat="1" applyFont="1" applyAlignment="1">
      <alignment horizontal="right"/>
    </xf>
    <xf numFmtId="0" fontId="30" fillId="0" borderId="2" xfId="14" applyFont="1" applyBorder="1" applyAlignment="1">
      <alignment horizontal="center"/>
    </xf>
    <xf numFmtId="4" fontId="28" fillId="6" borderId="17" xfId="14" applyNumberFormat="1" applyFont="1" applyFill="1" applyBorder="1" applyAlignment="1">
      <alignment horizontal="right"/>
    </xf>
    <xf numFmtId="4" fontId="28" fillId="6" borderId="23" xfId="14" applyNumberFormat="1" applyFont="1" applyFill="1" applyBorder="1" applyAlignment="1">
      <alignment horizontal="right"/>
    </xf>
    <xf numFmtId="0" fontId="39" fillId="0" borderId="8" xfId="14" applyFont="1" applyBorder="1" applyAlignment="1"/>
    <xf numFmtId="0" fontId="28" fillId="0" borderId="3" xfId="14" applyFont="1" applyBorder="1" applyAlignment="1"/>
    <xf numFmtId="0" fontId="25" fillId="0" borderId="3" xfId="14" applyFont="1" applyBorder="1" applyAlignment="1"/>
    <xf numFmtId="0" fontId="41" fillId="0" borderId="3" xfId="14" applyFont="1" applyBorder="1" applyAlignment="1">
      <alignment horizontal="left"/>
    </xf>
    <xf numFmtId="170" fontId="28" fillId="8" borderId="76" xfId="14" applyNumberFormat="1" applyFont="1" applyFill="1" applyBorder="1" applyAlignment="1">
      <alignment horizontal="right"/>
    </xf>
    <xf numFmtId="0" fontId="39" fillId="11" borderId="16" xfId="14" applyFont="1" applyFill="1" applyBorder="1" applyAlignment="1">
      <alignment horizontal="left" vertical="center"/>
    </xf>
    <xf numFmtId="0" fontId="39" fillId="0" borderId="124" xfId="14" applyFont="1" applyBorder="1" applyAlignment="1"/>
    <xf numFmtId="4" fontId="41" fillId="0" borderId="0" xfId="14" applyNumberFormat="1" applyFont="1" applyAlignment="1">
      <alignment horizontal="left"/>
    </xf>
    <xf numFmtId="0" fontId="41" fillId="11" borderId="125" xfId="14" applyFont="1" applyFill="1" applyBorder="1" applyAlignment="1">
      <alignment horizontal="center" vertical="center"/>
    </xf>
    <xf numFmtId="0" fontId="39" fillId="0" borderId="17" xfId="14" applyFont="1" applyBorder="1" applyAlignment="1">
      <alignment horizontal="center"/>
    </xf>
    <xf numFmtId="0" fontId="28" fillId="0" borderId="55" xfId="14" applyFont="1" applyBorder="1" applyAlignment="1"/>
    <xf numFmtId="0" fontId="25" fillId="0" borderId="81" xfId="14" applyFont="1" applyBorder="1" applyAlignment="1"/>
    <xf numFmtId="0" fontId="39" fillId="0" borderId="81" xfId="14" applyFont="1" applyBorder="1" applyAlignment="1">
      <alignment horizontal="left"/>
    </xf>
    <xf numFmtId="4" fontId="28" fillId="11" borderId="17" xfId="14" applyNumberFormat="1" applyFont="1" applyFill="1" applyBorder="1" applyAlignment="1">
      <alignment horizontal="right"/>
    </xf>
    <xf numFmtId="0" fontId="68" fillId="0" borderId="141" xfId="14" applyFont="1" applyBorder="1" applyAlignment="1"/>
    <xf numFmtId="0" fontId="25" fillId="0" borderId="56" xfId="14" applyFont="1" applyBorder="1" applyAlignment="1">
      <alignment horizontal="right"/>
    </xf>
    <xf numFmtId="4" fontId="68" fillId="8" borderId="17" xfId="14" applyNumberFormat="1" applyFont="1" applyFill="1" applyBorder="1" applyAlignment="1" applyProtection="1">
      <alignment horizontal="right"/>
      <protection locked="0"/>
    </xf>
    <xf numFmtId="4" fontId="68" fillId="11" borderId="0" xfId="14" applyNumberFormat="1" applyFont="1" applyFill="1" applyAlignment="1" applyProtection="1">
      <alignment horizontal="right"/>
      <protection locked="0"/>
    </xf>
    <xf numFmtId="4" fontId="28" fillId="8" borderId="17" xfId="14" applyNumberFormat="1" applyFont="1" applyFill="1" applyBorder="1" applyAlignment="1">
      <alignment horizontal="right"/>
    </xf>
    <xf numFmtId="0" fontId="41" fillId="11" borderId="142" xfId="14" applyFont="1" applyFill="1" applyBorder="1" applyAlignment="1">
      <alignment horizontal="center" vertical="center"/>
    </xf>
    <xf numFmtId="4" fontId="68" fillId="8" borderId="17" xfId="14" applyNumberFormat="1" applyFont="1" applyFill="1" applyBorder="1" applyAlignment="1">
      <alignment horizontal="right"/>
    </xf>
    <xf numFmtId="4" fontId="68" fillId="11" borderId="0" xfId="14" applyNumberFormat="1" applyFont="1" applyFill="1" applyAlignment="1">
      <alignment horizontal="right"/>
    </xf>
    <xf numFmtId="4" fontId="28" fillId="12" borderId="17" xfId="14" applyNumberFormat="1" applyFont="1" applyFill="1" applyBorder="1" applyAlignment="1" applyProtection="1">
      <alignment horizontal="right"/>
      <protection locked="0"/>
    </xf>
    <xf numFmtId="4" fontId="28" fillId="8" borderId="143" xfId="14" applyNumberFormat="1" applyFont="1" applyFill="1" applyBorder="1" applyAlignment="1">
      <alignment horizontal="right"/>
    </xf>
    <xf numFmtId="0" fontId="28" fillId="0" borderId="81" xfId="14" applyFont="1" applyBorder="1" applyAlignment="1">
      <alignment horizontal="left"/>
    </xf>
    <xf numFmtId="0" fontId="41" fillId="0" borderId="81" xfId="14" applyFont="1" applyBorder="1" applyAlignment="1">
      <alignment horizontal="right"/>
    </xf>
    <xf numFmtId="10" fontId="28" fillId="12" borderId="17" xfId="14" applyNumberFormat="1" applyFont="1" applyFill="1" applyBorder="1" applyAlignment="1" applyProtection="1">
      <alignment horizontal="right"/>
      <protection locked="0"/>
    </xf>
    <xf numFmtId="170" fontId="28" fillId="8" borderId="144" xfId="14" applyNumberFormat="1" applyFont="1" applyFill="1" applyBorder="1" applyAlignment="1">
      <alignment horizontal="right"/>
    </xf>
    <xf numFmtId="0" fontId="39" fillId="0" borderId="37" xfId="14" applyFont="1" applyBorder="1" applyAlignment="1"/>
    <xf numFmtId="0" fontId="30" fillId="17" borderId="37" xfId="14" applyFont="1" applyFill="1" applyBorder="1" applyAlignment="1" applyProtection="1">
      <protection locked="0"/>
    </xf>
    <xf numFmtId="2" fontId="39" fillId="17" borderId="37" xfId="14" applyNumberFormat="1" applyFont="1" applyFill="1" applyBorder="1" applyAlignment="1" applyProtection="1">
      <protection locked="0"/>
    </xf>
    <xf numFmtId="0" fontId="39" fillId="17" borderId="37" xfId="14" applyFont="1" applyFill="1" applyBorder="1" applyAlignment="1" applyProtection="1">
      <protection locked="0"/>
    </xf>
    <xf numFmtId="0" fontId="30" fillId="17" borderId="0" xfId="14" applyFont="1" applyFill="1" applyAlignment="1" applyProtection="1">
      <protection locked="0"/>
    </xf>
    <xf numFmtId="2" fontId="39" fillId="17" borderId="0" xfId="14" applyNumberFormat="1" applyFont="1" applyFill="1" applyAlignment="1" applyProtection="1">
      <protection locked="0"/>
    </xf>
    <xf numFmtId="0" fontId="39" fillId="17" borderId="0" xfId="14" applyFont="1" applyFill="1" applyAlignment="1" applyProtection="1">
      <protection locked="0"/>
    </xf>
    <xf numFmtId="0" fontId="29" fillId="8" borderId="36" xfId="14" applyFont="1" applyFill="1" applyBorder="1" applyAlignment="1"/>
    <xf numFmtId="0" fontId="26" fillId="2" borderId="145" xfId="14" applyFont="1" applyFill="1" applyBorder="1" applyAlignment="1">
      <alignment vertical="center"/>
    </xf>
    <xf numFmtId="0" fontId="39" fillId="11" borderId="133" xfId="14" applyFont="1" applyFill="1" applyBorder="1" applyAlignment="1" applyProtection="1">
      <protection locked="0"/>
    </xf>
    <xf numFmtId="0" fontId="27" fillId="11" borderId="133" xfId="14" applyFont="1" applyFill="1" applyBorder="1" applyAlignment="1" applyProtection="1">
      <protection locked="0"/>
    </xf>
    <xf numFmtId="0" fontId="25" fillId="11" borderId="14" xfId="14" applyFont="1" applyFill="1" applyBorder="1" applyAlignment="1">
      <alignment horizontal="left" vertical="center"/>
    </xf>
    <xf numFmtId="0" fontId="25" fillId="0" borderId="14" xfId="14" applyFont="1" applyBorder="1" applyAlignment="1"/>
    <xf numFmtId="2" fontId="39" fillId="11" borderId="14" xfId="14" applyNumberFormat="1" applyFont="1" applyFill="1" applyBorder="1" applyAlignment="1"/>
    <xf numFmtId="2" fontId="39" fillId="11" borderId="15" xfId="14" applyNumberFormat="1" applyFont="1" applyFill="1" applyBorder="1" applyAlignment="1"/>
    <xf numFmtId="0" fontId="25" fillId="11" borderId="54" xfId="14" applyFont="1" applyFill="1" applyBorder="1" applyAlignment="1">
      <alignment horizontal="center" vertical="center" wrapText="1"/>
    </xf>
    <xf numFmtId="0" fontId="1" fillId="0" borderId="17" xfId="14" applyBorder="1" applyAlignment="1">
      <alignment horizontal="center" vertical="center"/>
    </xf>
    <xf numFmtId="0" fontId="1" fillId="0" borderId="55" xfId="14" applyBorder="1" applyAlignment="1">
      <alignment horizontal="center" vertical="center"/>
    </xf>
    <xf numFmtId="0" fontId="25" fillId="11" borderId="56" xfId="14" applyFont="1" applyFill="1" applyBorder="1" applyAlignment="1">
      <alignment horizontal="center" vertical="center" wrapText="1"/>
    </xf>
    <xf numFmtId="0" fontId="25" fillId="11" borderId="17" xfId="14" applyFont="1" applyFill="1" applyBorder="1" applyAlignment="1">
      <alignment horizontal="center" vertical="center" wrapText="1"/>
    </xf>
    <xf numFmtId="0" fontId="35" fillId="0" borderId="55" xfId="14" applyFont="1" applyBorder="1" applyAlignment="1">
      <alignment horizontal="center" vertical="center" wrapText="1"/>
    </xf>
    <xf numFmtId="0" fontId="35" fillId="0" borderId="99" xfId="14" applyFont="1" applyBorder="1" applyAlignment="1">
      <alignment horizontal="center" vertical="center" wrapText="1"/>
    </xf>
    <xf numFmtId="0" fontId="29" fillId="11" borderId="146" xfId="14" applyFont="1" applyFill="1" applyBorder="1" applyAlignment="1">
      <alignment horizontal="center" vertical="center"/>
    </xf>
    <xf numFmtId="0" fontId="25" fillId="8" borderId="17" xfId="14" applyFont="1" applyFill="1" applyBorder="1" applyAlignment="1" applyProtection="1">
      <alignment horizontal="center" vertical="center"/>
      <protection locked="0"/>
    </xf>
    <xf numFmtId="0" fontId="1" fillId="8" borderId="55" xfId="14" applyFill="1" applyBorder="1" applyAlignment="1" applyProtection="1">
      <alignment horizontal="center" vertical="center"/>
      <protection locked="0"/>
    </xf>
    <xf numFmtId="168" fontId="25" fillId="8" borderId="56" xfId="14" applyNumberFormat="1" applyFont="1" applyFill="1" applyBorder="1" applyAlignment="1" applyProtection="1">
      <alignment horizontal="center" vertical="center"/>
      <protection locked="0"/>
    </xf>
    <xf numFmtId="168" fontId="25" fillId="8" borderId="17" xfId="14" applyNumberFormat="1" applyFont="1" applyFill="1" applyBorder="1" applyAlignment="1" applyProtection="1">
      <alignment horizontal="center" vertical="center"/>
      <protection locked="0"/>
    </xf>
    <xf numFmtId="168" fontId="25" fillId="0" borderId="55" xfId="14" applyNumberFormat="1" applyFont="1" applyBorder="1" applyAlignment="1">
      <alignment horizontal="right" vertical="center"/>
    </xf>
    <xf numFmtId="168" fontId="25" fillId="0" borderId="99" xfId="14" applyNumberFormat="1" applyFont="1" applyBorder="1" applyAlignment="1"/>
    <xf numFmtId="168" fontId="25" fillId="0" borderId="31" xfId="14" applyNumberFormat="1" applyFont="1" applyBorder="1" applyAlignment="1"/>
    <xf numFmtId="168" fontId="29" fillId="0" borderId="149" xfId="14" applyNumberFormat="1" applyFont="1" applyBorder="1" applyAlignment="1">
      <alignment horizontal="center" vertical="center"/>
    </xf>
    <xf numFmtId="168" fontId="29" fillId="0" borderId="150" xfId="14" applyNumberFormat="1" applyFont="1" applyBorder="1" applyAlignment="1">
      <alignment horizontal="center" vertical="center"/>
    </xf>
    <xf numFmtId="168" fontId="29" fillId="0" borderId="149" xfId="14" applyNumberFormat="1" applyFont="1" applyBorder="1" applyAlignment="1">
      <alignment horizontal="right" vertical="center"/>
    </xf>
    <xf numFmtId="168" fontId="29" fillId="0" borderId="30" xfId="14" applyNumberFormat="1" applyFont="1" applyBorder="1" applyAlignment="1">
      <alignment horizontal="center" vertical="center"/>
    </xf>
    <xf numFmtId="0" fontId="30" fillId="11" borderId="0" xfId="14" applyFont="1" applyFill="1" applyAlignment="1"/>
    <xf numFmtId="170" fontId="21" fillId="0" borderId="0" xfId="14" applyNumberFormat="1" applyFont="1" applyAlignment="1"/>
    <xf numFmtId="0" fontId="35" fillId="4" borderId="0" xfId="1" applyFont="1" applyFill="1"/>
    <xf numFmtId="0" fontId="35" fillId="4" borderId="0" xfId="1" applyFont="1" applyFill="1" applyProtection="1">
      <protection locked="0"/>
    </xf>
    <xf numFmtId="0" fontId="35" fillId="4" borderId="3" xfId="1" quotePrefix="1" applyFont="1" applyFill="1" applyBorder="1" applyAlignment="1" applyProtection="1">
      <alignment horizontal="left"/>
      <protection locked="0"/>
    </xf>
    <xf numFmtId="0" fontId="19" fillId="4" borderId="0" xfId="1" applyFont="1" applyFill="1" applyProtection="1">
      <protection locked="0"/>
    </xf>
    <xf numFmtId="3" fontId="35" fillId="4" borderId="39" xfId="1" applyNumberFormat="1" applyFont="1" applyFill="1" applyBorder="1" applyAlignment="1" applyProtection="1">
      <alignment horizontal="left" vertical="center"/>
      <protection locked="0"/>
    </xf>
    <xf numFmtId="0" fontId="35" fillId="3" borderId="72" xfId="1" applyFont="1" applyFill="1" applyBorder="1" applyAlignment="1">
      <alignment horizontal="right" vertical="center"/>
    </xf>
    <xf numFmtId="0" fontId="76" fillId="0" borderId="0" xfId="16" applyFont="1"/>
    <xf numFmtId="0" fontId="17" fillId="0" borderId="0" xfId="16"/>
    <xf numFmtId="0" fontId="1" fillId="0" borderId="151" xfId="16" applyFont="1" applyBorder="1" applyAlignment="1">
      <alignment vertical="center" wrapText="1"/>
    </xf>
    <xf numFmtId="0" fontId="21" fillId="0" borderId="155" xfId="16" applyFont="1" applyBorder="1" applyAlignment="1">
      <alignment horizontal="center" vertical="center" wrapText="1"/>
    </xf>
    <xf numFmtId="0" fontId="31" fillId="0" borderId="159" xfId="16" applyFont="1" applyBorder="1" applyAlignment="1">
      <alignment horizontal="center" vertical="center" wrapText="1"/>
    </xf>
    <xf numFmtId="0" fontId="45" fillId="0" borderId="161" xfId="16" applyFont="1" applyBorder="1" applyAlignment="1">
      <alignment horizontal="center" vertical="center" wrapText="1"/>
    </xf>
    <xf numFmtId="0" fontId="45" fillId="0" borderId="162" xfId="16" applyFont="1" applyBorder="1" applyAlignment="1">
      <alignment horizontal="center" vertical="center" wrapText="1"/>
    </xf>
    <xf numFmtId="0" fontId="1" fillId="0" borderId="155" xfId="16" applyFont="1" applyBorder="1" applyAlignment="1">
      <alignment vertical="center" wrapText="1"/>
    </xf>
    <xf numFmtId="4" fontId="1" fillId="18" borderId="151" xfId="16" applyNumberFormat="1" applyFont="1" applyFill="1" applyBorder="1" applyAlignment="1">
      <alignment horizontal="right" vertical="center" wrapText="1"/>
    </xf>
    <xf numFmtId="0" fontId="1" fillId="18" borderId="151" xfId="16" applyFont="1" applyFill="1" applyBorder="1" applyAlignment="1">
      <alignment horizontal="right" vertical="center" wrapText="1"/>
    </xf>
    <xf numFmtId="0" fontId="1" fillId="0" borderId="159" xfId="16" applyFont="1" applyBorder="1" applyAlignment="1">
      <alignment vertical="center" wrapText="1"/>
    </xf>
    <xf numFmtId="17" fontId="3" fillId="18" borderId="151" xfId="16" applyNumberFormat="1" applyFont="1" applyFill="1" applyBorder="1" applyAlignment="1">
      <alignment vertical="center" wrapText="1"/>
    </xf>
    <xf numFmtId="168" fontId="3" fillId="18" borderId="151" xfId="16" applyNumberFormat="1" applyFont="1" applyFill="1" applyBorder="1" applyAlignment="1">
      <alignment vertical="center" wrapText="1"/>
    </xf>
    <xf numFmtId="0" fontId="3" fillId="18" borderId="151" xfId="16" applyFont="1" applyFill="1" applyBorder="1" applyAlignment="1">
      <alignment horizontal="right" vertical="center" wrapText="1"/>
    </xf>
    <xf numFmtId="0" fontId="3" fillId="6" borderId="151" xfId="16" applyFont="1" applyFill="1" applyBorder="1" applyAlignment="1">
      <alignment horizontal="right" vertical="center" wrapText="1"/>
    </xf>
    <xf numFmtId="175" fontId="3" fillId="6" borderId="151" xfId="16" applyNumberFormat="1" applyFont="1" applyFill="1" applyBorder="1" applyAlignment="1">
      <alignment vertical="center" wrapText="1"/>
    </xf>
    <xf numFmtId="4" fontId="21" fillId="18" borderId="151" xfId="16" applyNumberFormat="1" applyFont="1" applyFill="1" applyBorder="1" applyAlignment="1">
      <alignment horizontal="right" vertical="center" wrapText="1"/>
    </xf>
    <xf numFmtId="0" fontId="21" fillId="18" borderId="151" xfId="16" applyFont="1" applyFill="1" applyBorder="1" applyAlignment="1">
      <alignment horizontal="right" vertical="center" wrapText="1"/>
    </xf>
    <xf numFmtId="0" fontId="4" fillId="6" borderId="151" xfId="16" applyFont="1" applyFill="1" applyBorder="1" applyAlignment="1">
      <alignment horizontal="right" vertical="center" wrapText="1"/>
    </xf>
    <xf numFmtId="0" fontId="4" fillId="19" borderId="151" xfId="16" applyFont="1" applyFill="1" applyBorder="1" applyAlignment="1">
      <alignment vertical="center" wrapText="1"/>
    </xf>
    <xf numFmtId="175" fontId="3" fillId="18" borderId="151" xfId="16" applyNumberFormat="1" applyFont="1" applyFill="1" applyBorder="1" applyAlignment="1">
      <alignment vertical="center" wrapText="1"/>
    </xf>
    <xf numFmtId="0" fontId="3" fillId="19" borderId="151" xfId="16" applyFont="1" applyFill="1" applyBorder="1" applyAlignment="1">
      <alignment horizontal="right" vertical="center" wrapText="1"/>
    </xf>
    <xf numFmtId="175" fontId="3" fillId="19" borderId="151" xfId="16" applyNumberFormat="1" applyFont="1" applyFill="1" applyBorder="1" applyAlignment="1">
      <alignment vertical="center" wrapText="1"/>
    </xf>
    <xf numFmtId="0" fontId="21" fillId="0" borderId="155" xfId="1" applyFont="1" applyBorder="1" applyAlignment="1">
      <alignment horizontal="center" vertical="center" wrapText="1"/>
    </xf>
    <xf numFmtId="0" fontId="21" fillId="18" borderId="151" xfId="16" applyFont="1" applyFill="1" applyBorder="1" applyAlignment="1">
      <alignment vertical="center" wrapText="1"/>
    </xf>
    <xf numFmtId="0" fontId="16" fillId="18" borderId="151" xfId="16" applyFont="1" applyFill="1" applyBorder="1" applyAlignment="1">
      <alignment horizontal="right" vertical="center" wrapText="1"/>
    </xf>
    <xf numFmtId="0" fontId="31" fillId="0" borderId="159" xfId="1" applyFont="1" applyBorder="1" applyAlignment="1">
      <alignment horizontal="center" vertical="center" wrapText="1"/>
    </xf>
    <xf numFmtId="0" fontId="45" fillId="0" borderId="161" xfId="1" applyFont="1" applyBorder="1" applyAlignment="1">
      <alignment horizontal="center" vertical="center" wrapText="1"/>
    </xf>
    <xf numFmtId="0" fontId="45" fillId="0" borderId="162" xfId="1" applyFont="1" applyBorder="1" applyAlignment="1">
      <alignment horizontal="center" vertical="center" wrapText="1"/>
    </xf>
    <xf numFmtId="0" fontId="21" fillId="0" borderId="151" xfId="1" applyFont="1" applyBorder="1" applyAlignment="1">
      <alignment vertical="center" wrapText="1"/>
    </xf>
    <xf numFmtId="40" fontId="20" fillId="18" borderId="151" xfId="1" applyNumberFormat="1" applyFont="1" applyFill="1" applyBorder="1" applyAlignment="1">
      <alignment horizontal="right" vertical="center" wrapText="1"/>
    </xf>
    <xf numFmtId="0" fontId="20" fillId="18" borderId="151" xfId="1" applyFont="1" applyFill="1" applyBorder="1" applyAlignment="1">
      <alignment vertical="center" wrapText="1"/>
    </xf>
    <xf numFmtId="0" fontId="26" fillId="18" borderId="151" xfId="1" applyFont="1" applyFill="1" applyBorder="1" applyAlignment="1">
      <alignment vertical="center" wrapText="1"/>
    </xf>
    <xf numFmtId="4" fontId="20" fillId="18" borderId="151" xfId="1" applyNumberFormat="1" applyFont="1" applyFill="1" applyBorder="1" applyAlignment="1">
      <alignment horizontal="right" vertical="center" wrapText="1"/>
    </xf>
    <xf numFmtId="0" fontId="21" fillId="18" borderId="151" xfId="1" applyFont="1" applyFill="1" applyBorder="1" applyAlignment="1">
      <alignment vertical="center" wrapText="1"/>
    </xf>
    <xf numFmtId="175" fontId="17" fillId="0" borderId="0" xfId="16" applyNumberFormat="1"/>
    <xf numFmtId="8" fontId="17" fillId="0" borderId="0" xfId="16" applyNumberFormat="1"/>
    <xf numFmtId="4" fontId="17" fillId="0" borderId="0" xfId="16" applyNumberFormat="1"/>
    <xf numFmtId="8" fontId="34" fillId="0" borderId="0" xfId="1" applyNumberFormat="1" applyFont="1"/>
    <xf numFmtId="4" fontId="14" fillId="0" borderId="0" xfId="0" applyNumberFormat="1" applyFont="1"/>
    <xf numFmtId="4" fontId="3" fillId="0" borderId="0" xfId="4" applyNumberFormat="1" applyFont="1" applyAlignment="1">
      <alignment vertical="center"/>
    </xf>
    <xf numFmtId="15" fontId="47" fillId="4" borderId="58" xfId="1" applyNumberFormat="1" applyFont="1" applyFill="1" applyBorder="1" applyAlignment="1" applyProtection="1">
      <alignment horizontal="center" vertical="center"/>
      <protection locked="0"/>
    </xf>
    <xf numFmtId="168" fontId="47" fillId="4" borderId="59" xfId="1" applyNumberFormat="1" applyFont="1" applyFill="1" applyBorder="1" applyAlignment="1" applyProtection="1">
      <alignment horizontal="right" vertical="center"/>
      <protection locked="0"/>
    </xf>
    <xf numFmtId="15" fontId="47" fillId="4" borderId="42" xfId="1" applyNumberFormat="1" applyFont="1" applyFill="1" applyBorder="1" applyAlignment="1" applyProtection="1">
      <alignment horizontal="center" vertical="center"/>
      <protection locked="0"/>
    </xf>
    <xf numFmtId="168" fontId="47" fillId="4" borderId="24" xfId="1" applyNumberFormat="1" applyFont="1" applyFill="1" applyBorder="1" applyAlignment="1" applyProtection="1">
      <alignment horizontal="right" vertical="center"/>
      <protection locked="0"/>
    </xf>
    <xf numFmtId="3" fontId="35" fillId="3" borderId="72" xfId="1" applyNumberFormat="1" applyFont="1" applyFill="1" applyBorder="1" applyAlignment="1">
      <alignment horizontal="right" vertical="center"/>
    </xf>
    <xf numFmtId="8" fontId="18" fillId="0" borderId="0" xfId="0" applyNumberFormat="1" applyFont="1" applyAlignment="1">
      <alignment horizontal="right" vertical="center" wrapText="1"/>
    </xf>
    <xf numFmtId="0" fontId="68" fillId="0" borderId="36" xfId="14" applyFont="1" applyBorder="1" applyAlignment="1" applyProtection="1">
      <alignment horizontal="center"/>
      <protection locked="0"/>
    </xf>
    <xf numFmtId="0" fontId="35" fillId="0" borderId="40" xfId="1" applyFont="1" applyBorder="1" applyAlignment="1">
      <alignment vertical="justify"/>
    </xf>
    <xf numFmtId="0" fontId="34" fillId="0" borderId="40" xfId="1" applyFont="1" applyBorder="1" applyProtection="1">
      <protection locked="0"/>
    </xf>
    <xf numFmtId="15" fontId="19" fillId="0" borderId="36" xfId="1" applyNumberFormat="1" applyFont="1" applyBorder="1" applyAlignment="1" applyProtection="1">
      <alignment horizontal="center" vertical="center"/>
      <protection locked="0"/>
    </xf>
    <xf numFmtId="170" fontId="1" fillId="0" borderId="0" xfId="1" applyNumberFormat="1"/>
    <xf numFmtId="170" fontId="1" fillId="0" borderId="0" xfId="1" applyNumberFormat="1" applyAlignment="1">
      <alignment vertical="center"/>
    </xf>
    <xf numFmtId="168" fontId="3" fillId="20" borderId="4" xfId="1" applyNumberFormat="1" applyFont="1" applyFill="1" applyBorder="1" applyAlignment="1">
      <alignment horizontal="center" vertical="center"/>
    </xf>
    <xf numFmtId="4" fontId="3" fillId="20" borderId="21" xfId="0" applyNumberFormat="1" applyFont="1" applyFill="1" applyBorder="1" applyAlignment="1">
      <alignment horizontal="center" vertical="center"/>
    </xf>
    <xf numFmtId="9" fontId="3" fillId="20" borderId="21" xfId="8" applyFont="1" applyFill="1" applyBorder="1" applyAlignment="1">
      <alignment horizontal="center" vertical="center"/>
    </xf>
    <xf numFmtId="168" fontId="3" fillId="20" borderId="163" xfId="1" applyNumberFormat="1" applyFont="1" applyFill="1" applyBorder="1" applyAlignment="1">
      <alignment horizontal="center" vertical="center"/>
    </xf>
    <xf numFmtId="0" fontId="14" fillId="20" borderId="4" xfId="0" applyFont="1" applyFill="1" applyBorder="1"/>
    <xf numFmtId="0" fontId="14" fillId="0" borderId="0" xfId="0" applyFont="1" applyAlignment="1">
      <alignment wrapText="1"/>
    </xf>
    <xf numFmtId="9" fontId="3" fillId="0" borderId="0" xfId="8" applyFont="1"/>
    <xf numFmtId="0" fontId="4" fillId="2" borderId="0" xfId="1" applyFont="1" applyFill="1" applyAlignment="1">
      <alignment horizontal="center" vertical="center"/>
    </xf>
    <xf numFmtId="0" fontId="3" fillId="0" borderId="4" xfId="0" applyFont="1" applyBorder="1" applyAlignment="1">
      <alignment vertical="center"/>
    </xf>
    <xf numFmtId="0" fontId="3" fillId="0" borderId="4" xfId="0" applyFont="1" applyBorder="1" applyAlignment="1" applyProtection="1">
      <alignment vertical="center"/>
      <protection locked="0"/>
    </xf>
    <xf numFmtId="0" fontId="2" fillId="0" borderId="0" xfId="4" applyFont="1" applyAlignment="1">
      <alignment horizontal="left"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2" borderId="3" xfId="1" applyFont="1" applyFill="1" applyBorder="1" applyAlignment="1">
      <alignment horizontal="left" vertical="center"/>
    </xf>
    <xf numFmtId="0" fontId="3" fillId="0" borderId="0" xfId="4" applyFont="1" applyAlignment="1">
      <alignment vertical="center" wrapText="1"/>
    </xf>
    <xf numFmtId="0" fontId="3" fillId="0" borderId="7" xfId="4" applyFont="1" applyBorder="1" applyAlignment="1">
      <alignment horizontal="center" vertical="center"/>
    </xf>
    <xf numFmtId="0" fontId="3" fillId="0" borderId="7" xfId="4" applyFont="1" applyBorder="1" applyAlignment="1">
      <alignment vertical="center"/>
    </xf>
    <xf numFmtId="168" fontId="3" fillId="0" borderId="7" xfId="4" applyNumberFormat="1" applyFont="1" applyBorder="1" applyAlignment="1">
      <alignment horizontal="center" vertical="center"/>
    </xf>
    <xf numFmtId="0" fontId="4" fillId="0" borderId="5" xfId="1" applyFont="1" applyBorder="1" applyAlignment="1">
      <alignment vertical="center"/>
    </xf>
    <xf numFmtId="0" fontId="2" fillId="0" borderId="4" xfId="1" applyFont="1" applyBorder="1" applyAlignment="1">
      <alignment vertical="center"/>
    </xf>
    <xf numFmtId="0" fontId="5" fillId="0" borderId="4" xfId="1" applyFont="1" applyBorder="1" applyAlignment="1">
      <alignment vertical="center"/>
    </xf>
    <xf numFmtId="0" fontId="5" fillId="0" borderId="4" xfId="1" applyFont="1" applyBorder="1" applyAlignment="1">
      <alignment vertical="center" wrapText="1"/>
    </xf>
    <xf numFmtId="0" fontId="5" fillId="0" borderId="7" xfId="1" applyFont="1" applyBorder="1" applyAlignment="1">
      <alignment vertical="center"/>
    </xf>
    <xf numFmtId="0" fontId="3" fillId="0" borderId="4" xfId="1" applyFont="1" applyBorder="1" applyAlignment="1">
      <alignment horizontal="left" vertical="center"/>
    </xf>
    <xf numFmtId="0" fontId="3" fillId="0" borderId="4" xfId="1" applyFont="1" applyBorder="1" applyAlignment="1" applyProtection="1">
      <alignment vertical="center"/>
      <protection locked="0"/>
    </xf>
    <xf numFmtId="1" fontId="4" fillId="2" borderId="5" xfId="4" applyNumberFormat="1" applyFont="1" applyFill="1" applyBorder="1" applyAlignment="1">
      <alignment horizontal="center" vertical="center"/>
    </xf>
    <xf numFmtId="0" fontId="3" fillId="0" borderId="0" xfId="0" applyFont="1" applyAlignment="1">
      <alignment vertical="center"/>
    </xf>
    <xf numFmtId="0" fontId="3" fillId="0" borderId="0" xfId="7" applyFont="1" applyAlignment="1">
      <alignment vertical="center"/>
    </xf>
    <xf numFmtId="0" fontId="4" fillId="0" borderId="0" xfId="1" applyFont="1" applyAlignment="1">
      <alignment horizontal="center" vertical="center"/>
    </xf>
    <xf numFmtId="0" fontId="11" fillId="0" borderId="0" xfId="1" applyFont="1" applyAlignment="1">
      <alignment horizontal="center" vertical="center"/>
    </xf>
    <xf numFmtId="0" fontId="12" fillId="0" borderId="0" xfId="1" applyFont="1" applyAlignment="1">
      <alignment horizontal="center" vertical="center"/>
    </xf>
    <xf numFmtId="0" fontId="4" fillId="0" borderId="5" xfId="0" applyFont="1" applyBorder="1" applyAlignment="1">
      <alignment horizontal="center"/>
    </xf>
    <xf numFmtId="0" fontId="4" fillId="0" borderId="7" xfId="0" applyFont="1" applyBorder="1"/>
    <xf numFmtId="0" fontId="4" fillId="0" borderId="7" xfId="0" applyFont="1" applyBorder="1" applyAlignment="1">
      <alignment horizontal="center"/>
    </xf>
    <xf numFmtId="0" fontId="5" fillId="0" borderId="4" xfId="1" applyFont="1" applyBorder="1" applyAlignment="1">
      <alignment horizontal="center" vertical="center"/>
    </xf>
    <xf numFmtId="0" fontId="5" fillId="0" borderId="4" xfId="1" applyFont="1" applyBorder="1" applyAlignment="1">
      <alignment horizontal="center" vertical="center" wrapText="1"/>
    </xf>
    <xf numFmtId="0" fontId="5" fillId="0" borderId="7" xfId="1" applyFont="1" applyBorder="1" applyAlignment="1">
      <alignment horizontal="center" vertical="center"/>
    </xf>
    <xf numFmtId="0" fontId="3" fillId="0" borderId="5" xfId="1" applyFont="1" applyBorder="1" applyAlignment="1">
      <alignment horizontal="center" vertical="center" wrapText="1"/>
    </xf>
    <xf numFmtId="0" fontId="4" fillId="0" borderId="4" xfId="1" applyFont="1" applyBorder="1" applyAlignment="1">
      <alignment horizontal="center" vertical="center" wrapText="1"/>
    </xf>
    <xf numFmtId="0" fontId="5" fillId="0" borderId="4"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protection locked="0"/>
    </xf>
    <xf numFmtId="0" fontId="4" fillId="2" borderId="3" xfId="1" applyFont="1" applyFill="1" applyBorder="1" applyAlignment="1">
      <alignment horizontal="center" vertical="center"/>
    </xf>
    <xf numFmtId="0" fontId="11" fillId="2" borderId="3" xfId="1" applyFont="1" applyFill="1" applyBorder="1" applyAlignment="1">
      <alignment horizontal="left" vertical="center"/>
    </xf>
    <xf numFmtId="167" fontId="4" fillId="2" borderId="3" xfId="1" applyNumberFormat="1" applyFont="1" applyFill="1" applyBorder="1" applyAlignment="1">
      <alignment horizontal="center" vertical="center"/>
    </xf>
    <xf numFmtId="0" fontId="11" fillId="0" borderId="4"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2" fillId="0" borderId="4" xfId="1" applyFont="1" applyBorder="1" applyAlignment="1" applyProtection="1">
      <alignment vertical="center" wrapText="1"/>
      <protection locked="0"/>
    </xf>
    <xf numFmtId="0" fontId="3" fillId="20" borderId="0" xfId="4" applyFont="1" applyFill="1" applyAlignment="1">
      <alignment vertical="center"/>
    </xf>
    <xf numFmtId="0" fontId="80" fillId="0" borderId="2" xfId="0" applyFont="1" applyBorder="1" applyAlignment="1">
      <alignment vertical="top"/>
    </xf>
    <xf numFmtId="0" fontId="80" fillId="0" borderId="166" xfId="0" applyFont="1" applyBorder="1" applyAlignment="1">
      <alignment vertical="top"/>
    </xf>
    <xf numFmtId="0" fontId="80" fillId="0" borderId="165" xfId="0" applyFont="1" applyBorder="1" applyAlignment="1">
      <alignment vertical="top" wrapText="1"/>
    </xf>
    <xf numFmtId="0" fontId="80" fillId="0" borderId="167" xfId="0" applyFont="1" applyBorder="1" applyAlignment="1">
      <alignment vertical="top"/>
    </xf>
    <xf numFmtId="0" fontId="80" fillId="0" borderId="167" xfId="0" applyFont="1" applyBorder="1" applyAlignment="1">
      <alignment vertical="top" wrapText="1"/>
    </xf>
    <xf numFmtId="44" fontId="3" fillId="0" borderId="0" xfId="4" applyNumberFormat="1" applyFont="1"/>
    <xf numFmtId="2" fontId="14" fillId="14" borderId="19" xfId="0" applyNumberFormat="1" applyFont="1" applyFill="1" applyBorder="1" applyAlignment="1">
      <alignment horizontal="left" vertical="top" wrapText="1"/>
    </xf>
    <xf numFmtId="2" fontId="14" fillId="14" borderId="38" xfId="0" applyNumberFormat="1" applyFont="1" applyFill="1" applyBorder="1" applyAlignment="1">
      <alignment horizontal="left" vertical="top" wrapText="1"/>
    </xf>
    <xf numFmtId="0" fontId="82" fillId="14" borderId="4" xfId="19" applyFont="1" applyFill="1" applyBorder="1" applyAlignment="1">
      <alignment vertical="top" wrapText="1"/>
    </xf>
    <xf numFmtId="0" fontId="3" fillId="0" borderId="2" xfId="4" applyFont="1" applyBorder="1" applyAlignment="1">
      <alignment horizontal="center" vertical="center"/>
    </xf>
    <xf numFmtId="170" fontId="3" fillId="0" borderId="4" xfId="4" applyNumberFormat="1" applyFont="1" applyBorder="1" applyAlignment="1">
      <alignment horizontal="center" vertical="center"/>
    </xf>
    <xf numFmtId="170" fontId="3" fillId="0" borderId="7" xfId="4" applyNumberFormat="1" applyFont="1" applyBorder="1" applyAlignment="1">
      <alignment horizontal="center" vertical="center"/>
    </xf>
    <xf numFmtId="170" fontId="4" fillId="0" borderId="5" xfId="0" applyNumberFormat="1" applyFont="1" applyBorder="1" applyAlignment="1">
      <alignment horizontal="center"/>
    </xf>
    <xf numFmtId="170" fontId="4" fillId="0" borderId="7" xfId="0" applyNumberFormat="1" applyFont="1" applyBorder="1" applyAlignment="1">
      <alignment horizontal="center"/>
    </xf>
    <xf numFmtId="0" fontId="3" fillId="0" borderId="4" xfId="4" applyFont="1" applyBorder="1" applyAlignment="1">
      <alignment horizontal="left" vertical="center" wrapText="1"/>
    </xf>
    <xf numFmtId="0" fontId="5" fillId="0" borderId="4" xfId="4" applyFont="1" applyBorder="1" applyAlignment="1">
      <alignment vertical="center"/>
    </xf>
    <xf numFmtId="0" fontId="5" fillId="0" borderId="4" xfId="4" applyFont="1" applyBorder="1" applyAlignment="1">
      <alignment vertical="center" wrapText="1"/>
    </xf>
    <xf numFmtId="170" fontId="3" fillId="0" borderId="4" xfId="4" applyNumberFormat="1" applyFont="1" applyBorder="1" applyAlignment="1">
      <alignment vertical="center"/>
    </xf>
    <xf numFmtId="0" fontId="5" fillId="0" borderId="4" xfId="4" applyFont="1" applyBorder="1" applyAlignment="1">
      <alignment horizontal="left" vertical="center" wrapText="1"/>
    </xf>
    <xf numFmtId="170" fontId="3" fillId="0" borderId="4" xfId="4" applyNumberFormat="1" applyFont="1" applyBorder="1" applyAlignment="1" applyProtection="1">
      <alignment horizontal="center" vertical="center" wrapText="1"/>
      <protection locked="0"/>
    </xf>
    <xf numFmtId="0" fontId="5" fillId="0" borderId="0" xfId="4" applyFont="1" applyAlignment="1">
      <alignment vertical="center"/>
    </xf>
    <xf numFmtId="0" fontId="3" fillId="0" borderId="7" xfId="4" applyFont="1" applyBorder="1" applyAlignment="1">
      <alignment vertical="center" wrapText="1"/>
    </xf>
    <xf numFmtId="0" fontId="3" fillId="0" borderId="7" xfId="4" applyFont="1" applyBorder="1" applyAlignment="1">
      <alignment horizontal="center" vertical="center" wrapText="1"/>
    </xf>
    <xf numFmtId="170" fontId="4" fillId="0" borderId="10" xfId="5" applyNumberFormat="1" applyFont="1" applyBorder="1" applyAlignment="1">
      <alignment horizontal="center" vertical="center"/>
    </xf>
    <xf numFmtId="0" fontId="3" fillId="0" borderId="14" xfId="4" applyFont="1" applyBorder="1" applyAlignment="1">
      <alignment horizontal="center" vertical="center"/>
    </xf>
    <xf numFmtId="0" fontId="3" fillId="0" borderId="14" xfId="4" applyFont="1" applyBorder="1" applyAlignment="1">
      <alignment vertical="center" wrapText="1"/>
    </xf>
    <xf numFmtId="0" fontId="3" fillId="0" borderId="14" xfId="4" applyFont="1" applyBorder="1" applyAlignment="1">
      <alignment horizontal="center" vertical="center" wrapText="1"/>
    </xf>
    <xf numFmtId="170" fontId="3" fillId="0" borderId="14" xfId="4" applyNumberFormat="1" applyFont="1" applyBorder="1" applyAlignment="1">
      <alignment horizontal="center" vertical="center"/>
    </xf>
    <xf numFmtId="0" fontId="3" fillId="0" borderId="14" xfId="4" applyFont="1" applyBorder="1" applyAlignment="1">
      <alignment vertical="center"/>
    </xf>
    <xf numFmtId="0" fontId="3" fillId="0" borderId="3" xfId="4" applyFont="1" applyBorder="1" applyAlignment="1">
      <alignment horizontal="center" vertical="center"/>
    </xf>
    <xf numFmtId="0" fontId="3" fillId="0" borderId="3" xfId="4" applyFont="1" applyBorder="1" applyAlignment="1">
      <alignment vertical="center" wrapText="1"/>
    </xf>
    <xf numFmtId="0" fontId="3" fillId="0" borderId="3" xfId="4" applyFont="1" applyBorder="1" applyAlignment="1">
      <alignment horizontal="center" vertical="center" wrapText="1"/>
    </xf>
    <xf numFmtId="170" fontId="3" fillId="0" borderId="3" xfId="4" applyNumberFormat="1" applyFont="1" applyBorder="1" applyAlignment="1">
      <alignment horizontal="center" vertical="center"/>
    </xf>
    <xf numFmtId="0" fontId="3" fillId="0" borderId="3" xfId="4" applyFont="1" applyBorder="1" applyAlignment="1">
      <alignment vertical="center"/>
    </xf>
    <xf numFmtId="0" fontId="1" fillId="0" borderId="0" xfId="19" applyAlignment="1">
      <alignment vertical="top"/>
    </xf>
    <xf numFmtId="0" fontId="82" fillId="0" borderId="4" xfId="19" applyFont="1" applyBorder="1" applyAlignment="1">
      <alignment vertical="top" wrapText="1"/>
    </xf>
    <xf numFmtId="0" fontId="3" fillId="0" borderId="8" xfId="4" applyFont="1" applyBorder="1" applyAlignment="1">
      <alignment horizontal="center" vertical="center"/>
    </xf>
    <xf numFmtId="1" fontId="3" fillId="0" borderId="4" xfId="4" applyNumberFormat="1" applyFont="1" applyBorder="1" applyAlignment="1">
      <alignment horizontal="center" vertical="center"/>
    </xf>
    <xf numFmtId="1" fontId="4" fillId="0" borderId="5" xfId="0" applyNumberFormat="1" applyFont="1" applyBorder="1" applyAlignment="1">
      <alignment horizontal="center"/>
    </xf>
    <xf numFmtId="1" fontId="4" fillId="0" borderId="7" xfId="0" applyNumberFormat="1" applyFont="1" applyBorder="1" applyAlignment="1">
      <alignment horizontal="center"/>
    </xf>
    <xf numFmtId="1" fontId="3" fillId="0" borderId="0" xfId="4" applyNumberFormat="1" applyFont="1" applyAlignment="1">
      <alignment horizontal="center" vertical="center"/>
    </xf>
    <xf numFmtId="1" fontId="3" fillId="0" borderId="7" xfId="4" applyNumberFormat="1" applyFont="1" applyBorder="1" applyAlignment="1">
      <alignment horizontal="center" vertical="center"/>
    </xf>
    <xf numFmtId="1" fontId="4" fillId="0" borderId="11" xfId="5" applyNumberFormat="1" applyFont="1" applyBorder="1" applyAlignment="1">
      <alignment horizontal="center" vertical="center"/>
    </xf>
    <xf numFmtId="1" fontId="3" fillId="0" borderId="14" xfId="4" applyNumberFormat="1" applyFont="1" applyBorder="1" applyAlignment="1">
      <alignment horizontal="center" vertical="center"/>
    </xf>
    <xf numFmtId="1" fontId="3" fillId="0" borderId="3" xfId="4" applyNumberFormat="1" applyFont="1" applyBorder="1" applyAlignment="1">
      <alignment horizontal="center" vertical="center"/>
    </xf>
    <xf numFmtId="1" fontId="3" fillId="0" borderId="4" xfId="20" applyNumberFormat="1" applyFont="1" applyFill="1" applyBorder="1" applyAlignment="1">
      <alignment horizontal="center" vertical="center"/>
    </xf>
    <xf numFmtId="0" fontId="3" fillId="0" borderId="2" xfId="4" applyFont="1" applyBorder="1" applyAlignment="1">
      <alignment horizontal="center" vertical="center" wrapText="1"/>
    </xf>
    <xf numFmtId="168" fontId="3" fillId="0" borderId="4" xfId="4" applyNumberFormat="1" applyFont="1" applyBorder="1" applyAlignment="1">
      <alignment horizontal="right" vertical="center"/>
    </xf>
    <xf numFmtId="0" fontId="3" fillId="0" borderId="4" xfId="4" applyFont="1" applyBorder="1" applyAlignment="1">
      <alignment horizontal="right" vertical="center"/>
    </xf>
    <xf numFmtId="170" fontId="3" fillId="0" borderId="4" xfId="4" applyNumberFormat="1" applyFont="1" applyBorder="1" applyAlignment="1">
      <alignment horizontal="right" vertical="center"/>
    </xf>
    <xf numFmtId="168" fontId="4" fillId="0" borderId="9" xfId="5" applyNumberFormat="1" applyFont="1" applyBorder="1" applyAlignment="1">
      <alignment horizontal="right" vertical="center"/>
    </xf>
    <xf numFmtId="0" fontId="4" fillId="0" borderId="2" xfId="4" applyFont="1" applyBorder="1" applyAlignment="1">
      <alignment horizontal="center" vertical="center"/>
    </xf>
    <xf numFmtId="1" fontId="4" fillId="0" borderId="0" xfId="4" applyNumberFormat="1" applyFont="1" applyAlignment="1">
      <alignment horizontal="center" vertical="center"/>
    </xf>
    <xf numFmtId="0" fontId="3" fillId="0" borderId="0" xfId="4" applyFont="1" applyAlignment="1">
      <alignment horizontal="center" vertical="center" wrapText="1"/>
    </xf>
    <xf numFmtId="0" fontId="81" fillId="0" borderId="166" xfId="0" applyFont="1" applyBorder="1" applyAlignment="1">
      <alignment vertical="top"/>
    </xf>
    <xf numFmtId="0" fontId="80" fillId="0" borderId="166" xfId="0" applyFont="1" applyBorder="1" applyAlignment="1">
      <alignment horizontal="center" vertical="center"/>
    </xf>
    <xf numFmtId="2" fontId="3" fillId="0" borderId="4" xfId="2" applyNumberFormat="1" applyFont="1" applyFill="1" applyBorder="1" applyAlignment="1" applyProtection="1">
      <alignment horizontal="center" vertical="center"/>
    </xf>
    <xf numFmtId="0" fontId="80" fillId="0" borderId="0" xfId="0" applyFont="1" applyAlignment="1">
      <alignment vertical="top"/>
    </xf>
    <xf numFmtId="0" fontId="81" fillId="0" borderId="0" xfId="0" applyFont="1" applyAlignment="1">
      <alignment vertical="top"/>
    </xf>
    <xf numFmtId="7" fontId="3" fillId="0" borderId="4" xfId="20" applyNumberFormat="1" applyFont="1" applyBorder="1" applyAlignment="1">
      <alignment horizontal="center" vertical="center"/>
    </xf>
    <xf numFmtId="170" fontId="3" fillId="0" borderId="0" xfId="1" applyNumberFormat="1" applyFont="1" applyAlignment="1">
      <alignment horizontal="center" vertical="center"/>
    </xf>
    <xf numFmtId="170" fontId="3" fillId="0" borderId="5" xfId="1" applyNumberFormat="1" applyFont="1" applyBorder="1" applyAlignment="1">
      <alignment horizontal="center" vertical="center"/>
    </xf>
    <xf numFmtId="170" fontId="3" fillId="0" borderId="4" xfId="1" applyNumberFormat="1" applyFont="1" applyBorder="1" applyAlignment="1">
      <alignment horizontal="center" vertical="center"/>
    </xf>
    <xf numFmtId="170" fontId="3" fillId="0" borderId="4" xfId="2" applyNumberFormat="1" applyFont="1" applyBorder="1" applyAlignment="1" applyProtection="1">
      <alignment horizontal="center" vertical="center"/>
    </xf>
    <xf numFmtId="170" fontId="80" fillId="0" borderId="166" xfId="0" applyNumberFormat="1" applyFont="1" applyBorder="1" applyAlignment="1">
      <alignment vertical="top"/>
    </xf>
    <xf numFmtId="170" fontId="3" fillId="0" borderId="7" xfId="1" applyNumberFormat="1" applyFont="1" applyBorder="1" applyAlignment="1">
      <alignment horizontal="center" vertical="center"/>
    </xf>
    <xf numFmtId="170" fontId="4" fillId="2" borderId="9" xfId="2" applyNumberFormat="1" applyFont="1" applyFill="1" applyBorder="1" applyAlignment="1" applyProtection="1">
      <alignment horizontal="center" vertical="center"/>
    </xf>
    <xf numFmtId="170" fontId="3" fillId="0" borderId="4" xfId="6" applyNumberFormat="1" applyFont="1" applyBorder="1" applyAlignment="1">
      <alignment horizontal="center" vertical="center"/>
    </xf>
    <xf numFmtId="170" fontId="3" fillId="0" borderId="4" xfId="0" applyNumberFormat="1" applyFont="1" applyBorder="1" applyAlignment="1">
      <alignment horizontal="center" vertical="center"/>
    </xf>
    <xf numFmtId="170" fontId="3" fillId="0" borderId="4" xfId="2" applyNumberFormat="1" applyFont="1" applyFill="1" applyBorder="1" applyAlignment="1" applyProtection="1">
      <alignment horizontal="center" vertical="center"/>
    </xf>
    <xf numFmtId="170" fontId="3" fillId="0" borderId="4" xfId="20" applyNumberFormat="1" applyFont="1" applyBorder="1" applyAlignment="1">
      <alignment horizontal="center" vertical="center"/>
    </xf>
    <xf numFmtId="170" fontId="4" fillId="2" borderId="9" xfId="1" applyNumberFormat="1" applyFont="1" applyFill="1" applyBorder="1" applyAlignment="1">
      <alignment horizontal="center" vertical="center"/>
    </xf>
    <xf numFmtId="170" fontId="3" fillId="0" borderId="3" xfId="1" applyNumberFormat="1" applyFont="1" applyBorder="1" applyAlignment="1">
      <alignment horizontal="center" vertical="center"/>
    </xf>
    <xf numFmtId="170" fontId="3" fillId="0" borderId="5" xfId="2" applyNumberFormat="1" applyFont="1" applyBorder="1" applyAlignment="1" applyProtection="1">
      <alignment horizontal="center" vertical="center"/>
    </xf>
    <xf numFmtId="170" fontId="3" fillId="0" borderId="4" xfId="0" quotePrefix="1" applyNumberFormat="1" applyFont="1" applyBorder="1" applyAlignment="1">
      <alignment horizontal="center" vertical="center"/>
    </xf>
    <xf numFmtId="170" fontId="3" fillId="0" borderId="4" xfId="3" applyNumberFormat="1" applyFont="1" applyBorder="1" applyAlignment="1">
      <alignment horizontal="center" vertical="center"/>
    </xf>
    <xf numFmtId="170" fontId="3" fillId="0" borderId="7" xfId="2" applyNumberFormat="1" applyFont="1" applyBorder="1" applyAlignment="1" applyProtection="1">
      <alignment horizontal="center" vertical="center"/>
    </xf>
    <xf numFmtId="170" fontId="4" fillId="2" borderId="10" xfId="2" applyNumberFormat="1" applyFont="1" applyFill="1" applyBorder="1" applyAlignment="1" applyProtection="1">
      <alignment horizontal="center" vertical="center"/>
    </xf>
    <xf numFmtId="170" fontId="4" fillId="2" borderId="0" xfId="2" applyNumberFormat="1" applyFont="1" applyFill="1" applyBorder="1" applyAlignment="1" applyProtection="1">
      <alignment horizontal="center" vertical="center"/>
    </xf>
    <xf numFmtId="170" fontId="3" fillId="0" borderId="4" xfId="3" applyNumberFormat="1" applyFont="1" applyBorder="1" applyAlignment="1" applyProtection="1">
      <alignment horizontal="center" vertical="center"/>
    </xf>
    <xf numFmtId="170" fontId="3" fillId="0" borderId="4" xfId="3" applyNumberFormat="1" applyFont="1" applyBorder="1" applyAlignment="1" applyProtection="1">
      <alignment horizontal="center" vertical="center"/>
      <protection locked="0"/>
    </xf>
    <xf numFmtId="170" fontId="3" fillId="0" borderId="4" xfId="0" applyNumberFormat="1" applyFont="1" applyBorder="1" applyAlignment="1" applyProtection="1">
      <alignment horizontal="center" vertical="center"/>
      <protection locked="0"/>
    </xf>
    <xf numFmtId="170" fontId="3" fillId="0" borderId="4" xfId="3" applyNumberFormat="1" applyFont="1" applyFill="1" applyBorder="1" applyAlignment="1" applyProtection="1">
      <alignment horizontal="center" vertical="center"/>
    </xf>
    <xf numFmtId="170" fontId="4" fillId="2" borderId="10" xfId="1" applyNumberFormat="1" applyFont="1" applyFill="1" applyBorder="1" applyAlignment="1">
      <alignment horizontal="center" vertical="center"/>
    </xf>
    <xf numFmtId="170" fontId="4" fillId="2" borderId="3" xfId="1" applyNumberFormat="1" applyFont="1" applyFill="1" applyBorder="1" applyAlignment="1">
      <alignment horizontal="center" vertical="center"/>
    </xf>
    <xf numFmtId="10" fontId="3" fillId="0" borderId="4" xfId="8" applyNumberFormat="1" applyFont="1" applyFill="1" applyBorder="1" applyAlignment="1" applyProtection="1">
      <alignment horizontal="center" vertical="center"/>
    </xf>
    <xf numFmtId="10" fontId="3" fillId="0" borderId="4" xfId="3" applyNumberFormat="1" applyFont="1" applyBorder="1" applyAlignment="1">
      <alignment horizontal="center" vertical="center"/>
    </xf>
    <xf numFmtId="167" fontId="6" fillId="0" borderId="4" xfId="2" applyNumberFormat="1" applyFont="1" applyBorder="1" applyAlignment="1" applyProtection="1">
      <alignment horizontal="center" vertical="center"/>
    </xf>
    <xf numFmtId="170" fontId="6" fillId="0" borderId="4" xfId="2" applyNumberFormat="1" applyFont="1" applyBorder="1" applyAlignment="1" applyProtection="1">
      <alignment horizontal="center" vertical="center"/>
    </xf>
    <xf numFmtId="4" fontId="4" fillId="0" borderId="0" xfId="21" applyNumberFormat="1" applyFont="1" applyAlignment="1">
      <alignment horizontal="left"/>
    </xf>
    <xf numFmtId="4" fontId="13" fillId="0" borderId="0" xfId="21" applyNumberFormat="1" applyFont="1" applyAlignment="1">
      <alignment horizontal="left"/>
    </xf>
    <xf numFmtId="0" fontId="3" fillId="0" borderId="0" xfId="21" applyFont="1"/>
    <xf numFmtId="0" fontId="13" fillId="0" borderId="0" xfId="21" applyFont="1" applyAlignment="1">
      <alignment horizontal="left"/>
    </xf>
    <xf numFmtId="4" fontId="4" fillId="0" borderId="0" xfId="21" applyNumberFormat="1" applyFont="1"/>
    <xf numFmtId="0" fontId="3" fillId="0" borderId="0" xfId="21" applyFont="1" applyAlignment="1">
      <alignment horizontal="center"/>
    </xf>
    <xf numFmtId="0" fontId="3" fillId="0" borderId="40" xfId="21" applyFont="1" applyBorder="1" applyAlignment="1">
      <alignment horizontal="center"/>
    </xf>
    <xf numFmtId="0" fontId="3" fillId="0" borderId="38" xfId="21" applyFont="1" applyBorder="1"/>
    <xf numFmtId="0" fontId="3" fillId="0" borderId="61" xfId="21" applyFont="1" applyBorder="1"/>
    <xf numFmtId="0" fontId="3" fillId="0" borderId="40" xfId="21" applyFont="1" applyBorder="1"/>
    <xf numFmtId="0" fontId="3" fillId="0" borderId="19" xfId="21" applyFont="1" applyBorder="1" applyAlignment="1">
      <alignment horizontal="center"/>
    </xf>
    <xf numFmtId="0" fontId="3" fillId="0" borderId="19" xfId="22" applyFont="1" applyBorder="1" applyAlignment="1">
      <alignment horizontal="center" vertical="top"/>
    </xf>
    <xf numFmtId="0" fontId="2" fillId="0" borderId="40" xfId="22" applyFont="1" applyBorder="1" applyAlignment="1">
      <alignment vertical="top"/>
    </xf>
    <xf numFmtId="0" fontId="2" fillId="0" borderId="0" xfId="22" applyFont="1" applyAlignment="1">
      <alignment vertical="top"/>
    </xf>
    <xf numFmtId="0" fontId="4" fillId="0" borderId="0" xfId="1" applyFont="1" applyAlignment="1">
      <alignment horizontal="left"/>
    </xf>
    <xf numFmtId="0" fontId="2" fillId="0" borderId="38" xfId="22" applyFont="1" applyBorder="1" applyAlignment="1">
      <alignment vertical="top"/>
    </xf>
    <xf numFmtId="0" fontId="3" fillId="0" borderId="40" xfId="22" applyFont="1" applyBorder="1" applyAlignment="1">
      <alignment horizontal="center" vertical="top" shrinkToFit="1"/>
    </xf>
    <xf numFmtId="0" fontId="5" fillId="0" borderId="38" xfId="22" applyFont="1" applyBorder="1" applyAlignment="1">
      <alignment vertical="top"/>
    </xf>
    <xf numFmtId="0" fontId="5" fillId="0" borderId="0" xfId="22" applyFont="1" applyAlignment="1">
      <alignment vertical="top"/>
    </xf>
    <xf numFmtId="0" fontId="4" fillId="0" borderId="19" xfId="22" applyFont="1" applyBorder="1" applyAlignment="1">
      <alignment horizontal="center" vertical="top"/>
    </xf>
    <xf numFmtId="0" fontId="4" fillId="0" borderId="40" xfId="22" applyFont="1" applyBorder="1" applyAlignment="1">
      <alignment horizontal="center" vertical="top" shrinkToFit="1"/>
    </xf>
    <xf numFmtId="0" fontId="3" fillId="0" borderId="38" xfId="22" applyFont="1" applyBorder="1" applyAlignment="1">
      <alignment vertical="top"/>
    </xf>
    <xf numFmtId="0" fontId="3" fillId="0" borderId="0" xfId="22" applyFont="1" applyAlignment="1">
      <alignment vertical="top"/>
    </xf>
    <xf numFmtId="0" fontId="3" fillId="0" borderId="38" xfId="22" applyFont="1" applyBorder="1" applyAlignment="1">
      <alignment horizontal="center" vertical="top"/>
    </xf>
    <xf numFmtId="0" fontId="3" fillId="0" borderId="0" xfId="22" applyFont="1" applyAlignment="1">
      <alignment horizontal="center" vertical="top"/>
    </xf>
    <xf numFmtId="0" fontId="3" fillId="0" borderId="0" xfId="22" quotePrefix="1" applyFont="1" applyAlignment="1">
      <alignment horizontal="center" vertical="top"/>
    </xf>
    <xf numFmtId="0" fontId="3" fillId="0" borderId="19" xfId="22" applyFont="1" applyBorder="1" applyAlignment="1">
      <alignment horizontal="center"/>
    </xf>
    <xf numFmtId="169" fontId="3" fillId="0" borderId="19" xfId="21" applyNumberFormat="1" applyFont="1" applyBorder="1" applyAlignment="1">
      <alignment horizontal="center"/>
    </xf>
    <xf numFmtId="0" fontId="4" fillId="0" borderId="40" xfId="22" applyFont="1" applyBorder="1" applyAlignment="1">
      <alignment horizontal="left" vertical="top" shrinkToFit="1"/>
    </xf>
    <xf numFmtId="0" fontId="3" fillId="0" borderId="38" xfId="22" applyFont="1" applyBorder="1" applyAlignment="1">
      <alignment horizontal="left" vertical="top"/>
    </xf>
    <xf numFmtId="0" fontId="3" fillId="0" borderId="0" xfId="22" applyFont="1" applyAlignment="1">
      <alignment horizontal="left" vertical="top"/>
    </xf>
    <xf numFmtId="0" fontId="3" fillId="0" borderId="0" xfId="22" quotePrefix="1" applyFont="1" applyAlignment="1">
      <alignment horizontal="left" vertical="top"/>
    </xf>
    <xf numFmtId="0" fontId="2" fillId="0" borderId="38" xfId="22" applyFont="1" applyBorder="1" applyAlignment="1">
      <alignment horizontal="left" vertical="top"/>
    </xf>
    <xf numFmtId="0" fontId="3" fillId="0" borderId="0" xfId="22" quotePrefix="1" applyFont="1" applyAlignment="1">
      <alignment vertical="top"/>
    </xf>
    <xf numFmtId="2" fontId="3" fillId="0" borderId="19" xfId="22" applyNumberFormat="1" applyFont="1" applyBorder="1" applyAlignment="1">
      <alignment horizontal="center" vertical="top"/>
    </xf>
    <xf numFmtId="1" fontId="3" fillId="0" borderId="19" xfId="21" applyNumberFormat="1" applyFont="1" applyBorder="1" applyAlignment="1">
      <alignment horizontal="center"/>
    </xf>
    <xf numFmtId="0" fontId="3" fillId="0" borderId="19" xfId="22" applyFont="1" applyBorder="1" applyAlignment="1">
      <alignment horizontal="center" vertical="top" shrinkToFit="1"/>
    </xf>
    <xf numFmtId="0" fontId="2" fillId="0" borderId="19" xfId="22" applyFont="1" applyBorder="1" applyAlignment="1">
      <alignment vertical="top"/>
    </xf>
    <xf numFmtId="0" fontId="3" fillId="0" borderId="38" xfId="22" quotePrefix="1" applyFont="1" applyBorder="1" applyAlignment="1">
      <alignment vertical="top"/>
    </xf>
    <xf numFmtId="0" fontId="3" fillId="0" borderId="0" xfId="21" applyFont="1" applyAlignment="1">
      <alignment vertical="top"/>
    </xf>
    <xf numFmtId="0" fontId="5" fillId="0" borderId="0" xfId="22" applyFont="1" applyAlignment="1">
      <alignment horizontal="left" vertical="top"/>
    </xf>
    <xf numFmtId="0" fontId="3" fillId="0" borderId="61" xfId="22" applyFont="1" applyBorder="1" applyAlignment="1">
      <alignment horizontal="center" vertical="top"/>
    </xf>
    <xf numFmtId="0" fontId="3" fillId="0" borderId="61" xfId="22" applyFont="1" applyBorder="1" applyAlignment="1">
      <alignment vertical="top"/>
    </xf>
    <xf numFmtId="0" fontId="4" fillId="0" borderId="61" xfId="22" applyFont="1" applyBorder="1" applyAlignment="1">
      <alignment horizontal="left" vertical="top"/>
    </xf>
    <xf numFmtId="0" fontId="13" fillId="0" borderId="36" xfId="21" applyFont="1" applyBorder="1" applyAlignment="1">
      <alignment horizontal="left"/>
    </xf>
    <xf numFmtId="0" fontId="3" fillId="0" borderId="23" xfId="22" applyFont="1" applyBorder="1" applyAlignment="1">
      <alignment horizontal="center" vertical="top"/>
    </xf>
    <xf numFmtId="0" fontId="4" fillId="0" borderId="19" xfId="22" applyFont="1" applyBorder="1" applyAlignment="1">
      <alignment horizontal="center" vertical="top" shrinkToFit="1"/>
    </xf>
    <xf numFmtId="0" fontId="4" fillId="0" borderId="38" xfId="22" applyFont="1" applyBorder="1" applyAlignment="1">
      <alignment horizontal="left" vertical="top"/>
    </xf>
    <xf numFmtId="0" fontId="4" fillId="0" borderId="0" xfId="21" applyFont="1"/>
    <xf numFmtId="0" fontId="4" fillId="0" borderId="40" xfId="21" applyFont="1" applyBorder="1"/>
    <xf numFmtId="0" fontId="3" fillId="0" borderId="61" xfId="22" applyFont="1" applyBorder="1" applyAlignment="1">
      <alignment horizontal="center" vertical="top" shrinkToFit="1"/>
    </xf>
    <xf numFmtId="0" fontId="3" fillId="0" borderId="61" xfId="21" applyFont="1" applyBorder="1" applyAlignment="1">
      <alignment horizontal="center"/>
    </xf>
    <xf numFmtId="0" fontId="3" fillId="0" borderId="79" xfId="22" applyFont="1" applyBorder="1" applyAlignment="1">
      <alignment horizontal="center" vertical="top" shrinkToFit="1"/>
    </xf>
    <xf numFmtId="0" fontId="3" fillId="0" borderId="71" xfId="21" applyFont="1" applyBorder="1"/>
    <xf numFmtId="0" fontId="3" fillId="0" borderId="79" xfId="21" applyFont="1" applyBorder="1"/>
    <xf numFmtId="0" fontId="3" fillId="0" borderId="23" xfId="22" applyFont="1" applyBorder="1" applyAlignment="1">
      <alignment horizontal="center"/>
    </xf>
    <xf numFmtId="0" fontId="3" fillId="0" borderId="38" xfId="22" quotePrefix="1" applyFont="1" applyBorder="1" applyAlignment="1">
      <alignment horizontal="left" vertical="top"/>
    </xf>
    <xf numFmtId="0" fontId="4" fillId="0" borderId="0" xfId="22" applyFont="1" applyAlignment="1">
      <alignment horizontal="left" vertical="top"/>
    </xf>
    <xf numFmtId="0" fontId="3" fillId="0" borderId="40" xfId="22" applyFont="1" applyBorder="1" applyAlignment="1">
      <alignment horizontal="left" vertical="top" shrinkToFit="1"/>
    </xf>
    <xf numFmtId="169" fontId="3" fillId="0" borderId="19" xfId="22" applyNumberFormat="1" applyFont="1" applyBorder="1" applyAlignment="1">
      <alignment horizontal="center" vertical="top"/>
    </xf>
    <xf numFmtId="0" fontId="12" fillId="0" borderId="0" xfId="21" applyFont="1"/>
    <xf numFmtId="0" fontId="3" fillId="0" borderId="19" xfId="21" applyFont="1" applyBorder="1"/>
    <xf numFmtId="0" fontId="4" fillId="0" borderId="42" xfId="21" applyFont="1" applyBorder="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40" xfId="22" applyFont="1" applyBorder="1" applyAlignment="1">
      <alignment horizontal="center" vertical="top"/>
    </xf>
    <xf numFmtId="0" fontId="2" fillId="0" borderId="38" xfId="22" applyFont="1" applyBorder="1" applyAlignment="1">
      <alignment horizontal="left" vertical="top" wrapText="1"/>
    </xf>
    <xf numFmtId="0" fontId="2" fillId="0" borderId="0" xfId="22" applyFont="1" applyAlignment="1">
      <alignment horizontal="left" vertical="top" wrapText="1"/>
    </xf>
    <xf numFmtId="0" fontId="10" fillId="0" borderId="19" xfId="22" applyFont="1" applyBorder="1" applyAlignment="1">
      <alignment horizontal="left" vertical="top" wrapText="1"/>
    </xf>
    <xf numFmtId="0" fontId="3" fillId="0" borderId="0" xfId="22" applyFont="1" applyAlignment="1">
      <alignment horizontal="left" wrapText="1"/>
    </xf>
    <xf numFmtId="0" fontId="3" fillId="0" borderId="40" xfId="22" applyFont="1" applyBorder="1" applyAlignment="1">
      <alignment horizontal="left" wrapText="1"/>
    </xf>
    <xf numFmtId="0" fontId="3" fillId="0" borderId="0" xfId="21" quotePrefix="1" applyFont="1"/>
    <xf numFmtId="0" fontId="3" fillId="0" borderId="0" xfId="22" applyFont="1" applyAlignment="1">
      <alignment horizontal="left" vertical="top" wrapText="1"/>
    </xf>
    <xf numFmtId="0" fontId="3" fillId="0" borderId="40" xfId="22" applyFont="1" applyBorder="1" applyAlignment="1">
      <alignment horizontal="left" vertical="top" wrapText="1"/>
    </xf>
    <xf numFmtId="0" fontId="3" fillId="0" borderId="38" xfId="21" applyFont="1" applyBorder="1" applyAlignment="1">
      <alignment horizontal="center"/>
    </xf>
    <xf numFmtId="0" fontId="3" fillId="0" borderId="79" xfId="21" applyFont="1" applyBorder="1" applyAlignment="1">
      <alignment horizontal="center"/>
    </xf>
    <xf numFmtId="1" fontId="3" fillId="0" borderId="40" xfId="21" applyNumberFormat="1" applyFont="1" applyBorder="1" applyAlignment="1">
      <alignment horizontal="center"/>
    </xf>
    <xf numFmtId="2" fontId="3" fillId="0" borderId="40" xfId="21" applyNumberFormat="1" applyFont="1" applyBorder="1" applyAlignment="1">
      <alignment horizontal="center"/>
    </xf>
    <xf numFmtId="2" fontId="3" fillId="0" borderId="40" xfId="9" applyNumberFormat="1" applyFont="1" applyBorder="1" applyAlignment="1">
      <alignment horizontal="center"/>
    </xf>
    <xf numFmtId="166" fontId="3" fillId="0" borderId="0" xfId="9" applyFont="1" applyFill="1"/>
    <xf numFmtId="0" fontId="4" fillId="0" borderId="0" xfId="22" applyFont="1" applyAlignment="1">
      <alignment vertical="top"/>
    </xf>
    <xf numFmtId="0" fontId="3" fillId="0" borderId="0" xfId="22" applyFont="1"/>
    <xf numFmtId="0" fontId="12" fillId="0" borderId="0" xfId="22" applyFont="1" applyAlignment="1">
      <alignment vertical="top"/>
    </xf>
    <xf numFmtId="0" fontId="12" fillId="0" borderId="40" xfId="21" applyFont="1" applyBorder="1"/>
    <xf numFmtId="0" fontId="3" fillId="0" borderId="61" xfId="22" applyFont="1" applyBorder="1" applyAlignment="1">
      <alignment horizontal="center"/>
    </xf>
    <xf numFmtId="4" fontId="4" fillId="0" borderId="0" xfId="21" applyNumberFormat="1" applyFont="1" applyAlignment="1">
      <alignment horizontal="center"/>
    </xf>
    <xf numFmtId="0" fontId="12" fillId="0" borderId="0" xfId="22" quotePrefix="1" applyFont="1" applyAlignment="1">
      <alignment horizontal="left" vertical="top"/>
    </xf>
    <xf numFmtId="0" fontId="2" fillId="0" borderId="0" xfId="22" quotePrefix="1" applyFont="1" applyAlignment="1">
      <alignment horizontal="left" vertical="top"/>
    </xf>
    <xf numFmtId="0" fontId="5" fillId="0" borderId="0" xfId="21" applyFont="1"/>
    <xf numFmtId="0" fontId="3" fillId="0" borderId="0" xfId="21" applyFont="1" applyAlignment="1">
      <alignment horizontal="left" wrapText="1"/>
    </xf>
    <xf numFmtId="0" fontId="3" fillId="0" borderId="0" xfId="22" applyFont="1" applyAlignment="1">
      <alignment vertical="top" wrapText="1"/>
    </xf>
    <xf numFmtId="0" fontId="3" fillId="0" borderId="19" xfId="22" applyFont="1" applyBorder="1" applyAlignment="1">
      <alignment horizontal="left" vertical="top"/>
    </xf>
    <xf numFmtId="0" fontId="3" fillId="0" borderId="19" xfId="22" applyFont="1" applyBorder="1" applyAlignment="1">
      <alignment horizontal="left" vertical="top" wrapText="1"/>
    </xf>
    <xf numFmtId="0" fontId="3" fillId="0" borderId="19" xfId="21" applyFont="1" applyBorder="1" applyAlignment="1">
      <alignment horizontal="left" wrapText="1"/>
    </xf>
    <xf numFmtId="170" fontId="3" fillId="0" borderId="19" xfId="21" applyNumberFormat="1" applyFont="1" applyBorder="1" applyAlignment="1">
      <alignment horizontal="center"/>
    </xf>
    <xf numFmtId="170" fontId="3" fillId="0" borderId="19" xfId="22" applyNumberFormat="1" applyFont="1" applyBorder="1" applyAlignment="1">
      <alignment horizontal="center" vertical="top"/>
    </xf>
    <xf numFmtId="2" fontId="3" fillId="0" borderId="19" xfId="22" quotePrefix="1" applyNumberFormat="1" applyFont="1" applyBorder="1" applyAlignment="1">
      <alignment horizontal="center" vertical="top"/>
    </xf>
    <xf numFmtId="0" fontId="13" fillId="0" borderId="0" xfId="22" quotePrefix="1" applyFont="1" applyAlignment="1">
      <alignment vertical="top"/>
    </xf>
    <xf numFmtId="0" fontId="13" fillId="0" borderId="0" xfId="22" applyFont="1" applyAlignment="1">
      <alignment horizontal="left" vertical="top"/>
    </xf>
    <xf numFmtId="0" fontId="4" fillId="0" borderId="0" xfId="22" quotePrefix="1" applyFont="1" applyAlignment="1">
      <alignment horizontal="left" vertical="top"/>
    </xf>
    <xf numFmtId="0" fontId="3" fillId="0" borderId="40" xfId="22" applyFont="1" applyFill="1" applyBorder="1" applyAlignment="1">
      <alignment horizontal="left" wrapText="1"/>
    </xf>
    <xf numFmtId="0" fontId="3" fillId="0" borderId="19" xfId="22" applyFont="1" applyFill="1" applyBorder="1" applyAlignment="1">
      <alignment horizontal="center"/>
    </xf>
    <xf numFmtId="0" fontId="3" fillId="0" borderId="19" xfId="21" applyFont="1" applyFill="1" applyBorder="1" applyAlignment="1">
      <alignment horizontal="center"/>
    </xf>
    <xf numFmtId="0" fontId="3" fillId="0" borderId="40" xfId="22" applyFont="1" applyFill="1" applyBorder="1" applyAlignment="1">
      <alignment horizontal="center" vertical="top" shrinkToFit="1"/>
    </xf>
    <xf numFmtId="0" fontId="3" fillId="0" borderId="38" xfId="22" applyFont="1" applyFill="1" applyBorder="1" applyAlignment="1">
      <alignment horizontal="center"/>
    </xf>
    <xf numFmtId="0" fontId="3" fillId="0" borderId="0" xfId="21" applyFont="1" applyFill="1"/>
    <xf numFmtId="0" fontId="3" fillId="0" borderId="0" xfId="22" applyFont="1" applyFill="1" applyAlignment="1">
      <alignment horizontal="left" wrapText="1"/>
    </xf>
    <xf numFmtId="0" fontId="3" fillId="0" borderId="0" xfId="21" applyFont="1" applyBorder="1"/>
    <xf numFmtId="0" fontId="3" fillId="0" borderId="38" xfId="22" applyFont="1" applyFill="1" applyBorder="1" applyAlignment="1">
      <alignment horizontal="center" vertical="top"/>
    </xf>
    <xf numFmtId="0" fontId="5" fillId="0" borderId="0" xfId="22" applyFont="1" applyFill="1" applyAlignment="1">
      <alignment vertical="top"/>
    </xf>
    <xf numFmtId="0" fontId="3" fillId="0" borderId="0" xfId="22" applyFont="1" applyFill="1" applyAlignment="1">
      <alignment vertical="top"/>
    </xf>
    <xf numFmtId="0" fontId="3" fillId="0" borderId="40" xfId="21" applyFont="1" applyFill="1" applyBorder="1"/>
    <xf numFmtId="0" fontId="3" fillId="0" borderId="0" xfId="22" applyFont="1" applyFill="1" applyAlignment="1">
      <alignment horizontal="center" vertical="top"/>
    </xf>
    <xf numFmtId="0" fontId="3" fillId="0" borderId="0" xfId="22" quotePrefix="1" applyFont="1" applyFill="1" applyAlignment="1">
      <alignment horizontal="center" vertical="top"/>
    </xf>
    <xf numFmtId="169" fontId="3" fillId="0" borderId="19" xfId="21" applyNumberFormat="1" applyFont="1" applyFill="1" applyBorder="1" applyAlignment="1">
      <alignment horizontal="center"/>
    </xf>
    <xf numFmtId="0" fontId="13" fillId="0" borderId="0" xfId="21" applyFont="1" applyBorder="1" applyAlignment="1">
      <alignment horizontal="left"/>
    </xf>
    <xf numFmtId="0" fontId="3" fillId="0" borderId="19" xfId="22" applyFont="1" applyFill="1" applyBorder="1" applyAlignment="1">
      <alignment horizontal="center" vertical="top"/>
    </xf>
    <xf numFmtId="0" fontId="3" fillId="0" borderId="19" xfId="22" applyFont="1" applyFill="1" applyBorder="1" applyAlignment="1">
      <alignment horizontal="center" vertical="top" shrinkToFit="1"/>
    </xf>
    <xf numFmtId="0" fontId="3" fillId="0" borderId="38" xfId="22" applyFont="1" applyFill="1" applyBorder="1" applyAlignment="1">
      <alignment horizontal="left" vertical="top"/>
    </xf>
    <xf numFmtId="0" fontId="2" fillId="0" borderId="38" xfId="22" applyFont="1" applyFill="1" applyBorder="1" applyAlignment="1">
      <alignment horizontal="left" vertical="top"/>
    </xf>
    <xf numFmtId="0" fontId="4" fillId="0" borderId="38" xfId="22" applyFont="1" applyFill="1" applyBorder="1" applyAlignment="1">
      <alignment horizontal="left" vertical="top"/>
    </xf>
    <xf numFmtId="0" fontId="13" fillId="0" borderId="40" xfId="21" applyFont="1" applyFill="1" applyBorder="1"/>
    <xf numFmtId="0" fontId="2" fillId="0" borderId="0" xfId="22" applyFont="1" applyFill="1" applyAlignment="1">
      <alignment vertical="top"/>
    </xf>
    <xf numFmtId="0" fontId="3" fillId="0" borderId="0" xfId="21" quotePrefix="1" applyFont="1" applyFill="1"/>
    <xf numFmtId="2" fontId="3" fillId="0" borderId="19" xfId="22" quotePrefix="1" applyNumberFormat="1" applyFont="1" applyFill="1" applyBorder="1" applyAlignment="1">
      <alignment horizontal="center" vertical="center"/>
    </xf>
    <xf numFmtId="0" fontId="3" fillId="0" borderId="40" xfId="22" applyFont="1" applyFill="1" applyBorder="1" applyAlignment="1">
      <alignment horizontal="left" vertical="top" wrapText="1"/>
    </xf>
    <xf numFmtId="0" fontId="3" fillId="0" borderId="40" xfId="21" applyFont="1" applyFill="1" applyBorder="1" applyAlignment="1">
      <alignment horizontal="center"/>
    </xf>
    <xf numFmtId="0" fontId="3" fillId="0" borderId="0" xfId="22" quotePrefix="1" applyFont="1" applyFill="1" applyAlignment="1">
      <alignment vertical="top"/>
    </xf>
    <xf numFmtId="1" fontId="3" fillId="0" borderId="40" xfId="21" applyNumberFormat="1" applyFont="1" applyFill="1" applyBorder="1" applyAlignment="1">
      <alignment horizontal="center"/>
    </xf>
    <xf numFmtId="0" fontId="3" fillId="0" borderId="0" xfId="22" applyFont="1" applyFill="1" applyAlignment="1">
      <alignment horizontal="left" vertical="top" wrapText="1"/>
    </xf>
    <xf numFmtId="0" fontId="3" fillId="0" borderId="19" xfId="22" applyFont="1" applyFill="1" applyBorder="1" applyAlignment="1">
      <alignment horizontal="left" vertical="top" wrapText="1"/>
    </xf>
    <xf numFmtId="0" fontId="2" fillId="0" borderId="0" xfId="22" quotePrefix="1" applyFont="1" applyFill="1" applyAlignment="1">
      <alignment vertical="top"/>
    </xf>
    <xf numFmtId="0" fontId="4" fillId="0" borderId="0" xfId="22" applyFont="1" applyFill="1" applyAlignment="1">
      <alignment horizontal="left" vertical="top" wrapText="1"/>
    </xf>
    <xf numFmtId="0" fontId="3" fillId="0" borderId="0" xfId="21" applyFont="1" applyFill="1" applyAlignment="1">
      <alignment horizontal="center"/>
    </xf>
    <xf numFmtId="0" fontId="2" fillId="0" borderId="0" xfId="21" applyFont="1" applyFill="1"/>
    <xf numFmtId="0" fontId="3" fillId="0" borderId="19" xfId="21" applyFont="1" applyFill="1" applyBorder="1"/>
    <xf numFmtId="2" fontId="3" fillId="0" borderId="38" xfId="22" applyNumberFormat="1" applyFont="1" applyFill="1" applyBorder="1" applyAlignment="1">
      <alignment horizontal="center" vertical="top"/>
    </xf>
    <xf numFmtId="0" fontId="3" fillId="0" borderId="0" xfId="22" quotePrefix="1" applyFont="1" applyFill="1"/>
    <xf numFmtId="0" fontId="3" fillId="0" borderId="19" xfId="22" applyFont="1" applyFill="1" applyBorder="1" applyAlignment="1">
      <alignment horizontal="left" wrapText="1"/>
    </xf>
    <xf numFmtId="0" fontId="3" fillId="0" borderId="19" xfId="22" quotePrefix="1" applyFont="1" applyFill="1" applyBorder="1" applyAlignment="1">
      <alignment horizontal="left" vertical="top"/>
    </xf>
    <xf numFmtId="0" fontId="3" fillId="0" borderId="0" xfId="22" quotePrefix="1" applyFont="1" applyFill="1" applyAlignment="1">
      <alignment horizontal="left" vertical="top" wrapText="1"/>
    </xf>
    <xf numFmtId="0" fontId="3" fillId="0" borderId="0" xfId="22" quotePrefix="1" applyFont="1" applyFill="1" applyAlignment="1">
      <alignment horizontal="left" vertical="top"/>
    </xf>
    <xf numFmtId="0" fontId="2" fillId="0" borderId="19" xfId="22" quotePrefix="1" applyFont="1" applyFill="1" applyBorder="1" applyAlignment="1">
      <alignment horizontal="left" vertical="top" wrapText="1"/>
    </xf>
    <xf numFmtId="0" fontId="3" fillId="0" borderId="19" xfId="22" quotePrefix="1" applyFont="1" applyFill="1" applyBorder="1" applyAlignment="1">
      <alignment horizontal="left" vertical="top" wrapText="1"/>
    </xf>
    <xf numFmtId="0" fontId="3" fillId="0" borderId="0" xfId="21" applyFont="1" applyFill="1" applyBorder="1"/>
    <xf numFmtId="0" fontId="3" fillId="0" borderId="38" xfId="21" applyFont="1" applyFill="1" applyBorder="1"/>
    <xf numFmtId="0" fontId="4" fillId="0" borderId="19" xfId="1" applyFont="1" applyFill="1" applyBorder="1" applyAlignment="1">
      <alignment horizontal="left"/>
    </xf>
    <xf numFmtId="0" fontId="4" fillId="0" borderId="19" xfId="21" applyFont="1" applyFill="1" applyBorder="1"/>
    <xf numFmtId="0" fontId="3" fillId="0" borderId="24" xfId="21" applyFont="1" applyFill="1" applyBorder="1"/>
    <xf numFmtId="170" fontId="3" fillId="0" borderId="19" xfId="21" applyNumberFormat="1" applyFont="1" applyFill="1" applyBorder="1" applyAlignment="1">
      <alignment horizontal="center"/>
    </xf>
    <xf numFmtId="0" fontId="4" fillId="0" borderId="40" xfId="22" applyFont="1" applyFill="1" applyBorder="1" applyAlignment="1">
      <alignment horizontal="center" vertical="top" shrinkToFit="1"/>
    </xf>
    <xf numFmtId="0" fontId="2" fillId="0" borderId="0" xfId="22" applyFont="1" applyFill="1" applyBorder="1" applyAlignment="1">
      <alignment vertical="top"/>
    </xf>
    <xf numFmtId="0" fontId="4" fillId="0" borderId="0" xfId="21" applyFont="1" applyFill="1" applyBorder="1"/>
    <xf numFmtId="0" fontId="4" fillId="0" borderId="40" xfId="21" applyFont="1" applyFill="1" applyBorder="1"/>
    <xf numFmtId="0" fontId="3" fillId="0" borderId="42" xfId="22" applyFont="1" applyFill="1" applyBorder="1" applyAlignment="1">
      <alignment horizontal="center" vertical="top"/>
    </xf>
    <xf numFmtId="0" fontId="3" fillId="0" borderId="36" xfId="22" applyFont="1" applyFill="1" applyBorder="1" applyAlignment="1">
      <alignment vertical="top"/>
    </xf>
    <xf numFmtId="0" fontId="3" fillId="0" borderId="36" xfId="21" applyFont="1" applyFill="1" applyBorder="1"/>
    <xf numFmtId="0" fontId="3" fillId="0" borderId="53" xfId="21" applyFont="1" applyFill="1" applyBorder="1"/>
    <xf numFmtId="0" fontId="3" fillId="0" borderId="0" xfId="22" quotePrefix="1" applyFont="1" applyFill="1" applyBorder="1" applyAlignment="1">
      <alignment horizontal="left" vertical="top"/>
    </xf>
    <xf numFmtId="0" fontId="4" fillId="0" borderId="0" xfId="1" applyFont="1" applyFill="1" applyBorder="1" applyAlignment="1">
      <alignment horizontal="left"/>
    </xf>
    <xf numFmtId="0" fontId="2" fillId="0" borderId="0" xfId="22" applyFont="1" applyBorder="1" applyAlignment="1">
      <alignment vertical="top"/>
    </xf>
    <xf numFmtId="0" fontId="13" fillId="0" borderId="36" xfId="21" applyFont="1" applyBorder="1" applyAlignment="1"/>
    <xf numFmtId="4" fontId="13" fillId="0" borderId="0" xfId="21" applyNumberFormat="1" applyFont="1" applyAlignment="1">
      <alignment horizontal="center"/>
    </xf>
    <xf numFmtId="0" fontId="13" fillId="0" borderId="0" xfId="21" applyFont="1" applyAlignment="1">
      <alignment horizontal="center"/>
    </xf>
    <xf numFmtId="0" fontId="4" fillId="0" borderId="61" xfId="22" applyFont="1" applyBorder="1" applyAlignment="1">
      <alignment horizontal="center" vertical="top"/>
    </xf>
    <xf numFmtId="0" fontId="13" fillId="0" borderId="36" xfId="21" applyFont="1" applyBorder="1" applyAlignment="1">
      <alignment horizontal="center"/>
    </xf>
    <xf numFmtId="0" fontId="13" fillId="0" borderId="0" xfId="21" applyFont="1" applyBorder="1" applyAlignment="1">
      <alignment horizontal="center"/>
    </xf>
    <xf numFmtId="0" fontId="3" fillId="0" borderId="40" xfId="22" quotePrefix="1" applyFont="1" applyBorder="1" applyAlignment="1">
      <alignment horizontal="center" vertical="top" shrinkToFit="1"/>
    </xf>
    <xf numFmtId="0" fontId="3" fillId="0" borderId="0" xfId="21" applyFont="1" applyBorder="1" applyAlignment="1">
      <alignment horizontal="center"/>
    </xf>
    <xf numFmtId="0" fontId="12" fillId="0" borderId="40" xfId="21" applyFont="1" applyFill="1" applyBorder="1"/>
    <xf numFmtId="1" fontId="3" fillId="0" borderId="19" xfId="21" applyNumberFormat="1" applyFont="1" applyFill="1" applyBorder="1" applyAlignment="1">
      <alignment horizontal="center"/>
    </xf>
    <xf numFmtId="170" fontId="3" fillId="0" borderId="0" xfId="21" applyNumberFormat="1" applyFont="1" applyAlignment="1"/>
    <xf numFmtId="170" fontId="4" fillId="0" borderId="23" xfId="0" applyNumberFormat="1" applyFont="1" applyBorder="1" applyAlignment="1"/>
    <xf numFmtId="170" fontId="4" fillId="0" borderId="24" xfId="0" applyNumberFormat="1" applyFont="1" applyBorder="1" applyAlignment="1"/>
    <xf numFmtId="170" fontId="3" fillId="0" borderId="19" xfId="21" applyNumberFormat="1" applyFont="1" applyBorder="1" applyAlignment="1"/>
    <xf numFmtId="170" fontId="3" fillId="0" borderId="19" xfId="21" applyNumberFormat="1" applyFont="1" applyFill="1" applyBorder="1" applyAlignment="1"/>
    <xf numFmtId="170" fontId="3" fillId="0" borderId="19" xfId="9" applyNumberFormat="1" applyFont="1" applyFill="1" applyBorder="1" applyAlignment="1"/>
    <xf numFmtId="170" fontId="3" fillId="0" borderId="19" xfId="9" applyNumberFormat="1" applyFont="1" applyBorder="1" applyAlignment="1"/>
    <xf numFmtId="170" fontId="4" fillId="0" borderId="17" xfId="21" applyNumberFormat="1" applyFont="1" applyBorder="1" applyAlignment="1">
      <alignment vertical="center"/>
    </xf>
    <xf numFmtId="170" fontId="3" fillId="0" borderId="61" xfId="21" applyNumberFormat="1" applyFont="1" applyBorder="1" applyAlignment="1"/>
    <xf numFmtId="170" fontId="3" fillId="0" borderId="36" xfId="21" applyNumberFormat="1" applyFont="1" applyBorder="1" applyAlignment="1"/>
    <xf numFmtId="170" fontId="4" fillId="0" borderId="61" xfId="21" applyNumberFormat="1" applyFont="1" applyBorder="1" applyAlignment="1"/>
    <xf numFmtId="170" fontId="3" fillId="0" borderId="17" xfId="21" applyNumberFormat="1" applyFont="1" applyFill="1" applyBorder="1" applyAlignment="1"/>
    <xf numFmtId="170" fontId="4" fillId="0" borderId="17" xfId="21" applyNumberFormat="1" applyFont="1" applyFill="1" applyBorder="1" applyAlignment="1"/>
    <xf numFmtId="170" fontId="3" fillId="0" borderId="0" xfId="21" applyNumberFormat="1" applyFont="1" applyBorder="1" applyAlignment="1"/>
    <xf numFmtId="170" fontId="3" fillId="0" borderId="23" xfId="21" applyNumberFormat="1" applyFont="1" applyBorder="1" applyAlignment="1"/>
    <xf numFmtId="170" fontId="3" fillId="0" borderId="0" xfId="21" applyNumberFormat="1" applyFont="1" applyAlignment="1">
      <alignment horizontal="center"/>
    </xf>
    <xf numFmtId="170" fontId="3" fillId="0" borderId="19" xfId="9" applyNumberFormat="1" applyFont="1" applyBorder="1" applyAlignment="1">
      <alignment horizontal="center"/>
    </xf>
    <xf numFmtId="170" fontId="3" fillId="0" borderId="19" xfId="9" applyNumberFormat="1" applyFont="1" applyFill="1" applyBorder="1" applyAlignment="1">
      <alignment horizontal="center"/>
    </xf>
    <xf numFmtId="170" fontId="4" fillId="0" borderId="61" xfId="22" applyNumberFormat="1" applyFont="1" applyBorder="1" applyAlignment="1">
      <alignment horizontal="center" vertical="top"/>
    </xf>
    <xf numFmtId="170" fontId="3" fillId="0" borderId="36" xfId="21" applyNumberFormat="1" applyFont="1" applyBorder="1" applyAlignment="1">
      <alignment horizontal="center"/>
    </xf>
    <xf numFmtId="170" fontId="12" fillId="0" borderId="19" xfId="21" applyNumberFormat="1" applyFont="1" applyFill="1" applyBorder="1" applyAlignment="1">
      <alignment horizontal="center"/>
    </xf>
    <xf numFmtId="170" fontId="12" fillId="0" borderId="61" xfId="21" applyNumberFormat="1" applyFont="1" applyBorder="1" applyAlignment="1">
      <alignment horizontal="center"/>
    </xf>
    <xf numFmtId="170" fontId="3" fillId="0" borderId="0" xfId="21" applyNumberFormat="1" applyFont="1" applyBorder="1" applyAlignment="1">
      <alignment horizontal="center"/>
    </xf>
    <xf numFmtId="170" fontId="3" fillId="0" borderId="23" xfId="21" applyNumberFormat="1" applyFont="1" applyBorder="1" applyAlignment="1">
      <alignment horizontal="center"/>
    </xf>
    <xf numFmtId="170" fontId="12" fillId="0" borderId="19" xfId="21" applyNumberFormat="1" applyFont="1" applyBorder="1" applyAlignment="1">
      <alignment horizontal="center"/>
    </xf>
    <xf numFmtId="0" fontId="3" fillId="0" borderId="19" xfId="22" quotePrefix="1" applyFont="1" applyBorder="1" applyAlignment="1">
      <alignment horizontal="center" vertical="top"/>
    </xf>
    <xf numFmtId="4" fontId="4" fillId="0" borderId="0" xfId="21" applyNumberFormat="1" applyFont="1" applyAlignment="1"/>
    <xf numFmtId="169" fontId="3" fillId="0" borderId="19" xfId="22" quotePrefix="1" applyNumberFormat="1" applyFont="1" applyFill="1" applyBorder="1" applyAlignment="1">
      <alignment horizontal="center" vertical="top"/>
    </xf>
    <xf numFmtId="0" fontId="3" fillId="0" borderId="19" xfId="22" quotePrefix="1" applyFont="1" applyFill="1" applyBorder="1" applyAlignment="1">
      <alignment horizontal="center"/>
    </xf>
    <xf numFmtId="0" fontId="3" fillId="0" borderId="38" xfId="22" applyFont="1" applyFill="1" applyBorder="1" applyAlignment="1">
      <alignment horizontal="left" vertical="top" wrapText="1"/>
    </xf>
    <xf numFmtId="0" fontId="3" fillId="0" borderId="19" xfId="22" quotePrefix="1" applyFont="1" applyFill="1" applyBorder="1" applyAlignment="1">
      <alignment horizontal="center" vertical="top"/>
    </xf>
    <xf numFmtId="0" fontId="3" fillId="0" borderId="24" xfId="22" applyFont="1" applyFill="1" applyBorder="1" applyAlignment="1">
      <alignment horizontal="center" vertical="top" shrinkToFit="1"/>
    </xf>
    <xf numFmtId="0" fontId="3" fillId="0" borderId="38" xfId="22" quotePrefix="1" applyFont="1" applyFill="1" applyBorder="1" applyAlignment="1">
      <alignment horizontal="center" vertical="top"/>
    </xf>
    <xf numFmtId="169" fontId="3" fillId="0" borderId="19" xfId="22" quotePrefix="1" applyNumberFormat="1" applyFont="1" applyBorder="1" applyAlignment="1">
      <alignment horizontal="center" vertical="top"/>
    </xf>
    <xf numFmtId="1" fontId="4" fillId="0" borderId="19" xfId="22" applyNumberFormat="1" applyFont="1" applyBorder="1" applyAlignment="1">
      <alignment horizontal="center" vertical="top"/>
    </xf>
    <xf numFmtId="0" fontId="3" fillId="0" borderId="19" xfId="21" quotePrefix="1" applyFont="1" applyBorder="1" applyAlignment="1">
      <alignment horizontal="center"/>
    </xf>
    <xf numFmtId="43" fontId="3" fillId="0" borderId="4" xfId="20" applyFont="1" applyBorder="1" applyAlignment="1">
      <alignment horizontal="center" vertical="center"/>
    </xf>
    <xf numFmtId="0" fontId="3" fillId="0" borderId="0" xfId="4" applyFont="1" applyBorder="1" applyAlignment="1">
      <alignment horizontal="center" vertical="center"/>
    </xf>
    <xf numFmtId="0" fontId="3" fillId="0" borderId="0" xfId="4" applyFont="1" applyBorder="1" applyAlignment="1">
      <alignment vertical="center" wrapText="1"/>
    </xf>
    <xf numFmtId="0" fontId="3" fillId="0" borderId="0" xfId="4" applyFont="1" applyBorder="1" applyAlignment="1">
      <alignment horizontal="center" vertical="center" wrapText="1"/>
    </xf>
    <xf numFmtId="1" fontId="3" fillId="0" borderId="0" xfId="4" applyNumberFormat="1" applyFont="1" applyBorder="1" applyAlignment="1">
      <alignment horizontal="center" vertical="center"/>
    </xf>
    <xf numFmtId="170" fontId="3" fillId="0" borderId="0" xfId="4" applyNumberFormat="1" applyFont="1" applyBorder="1" applyAlignment="1">
      <alignment horizontal="center" vertical="center"/>
    </xf>
    <xf numFmtId="0" fontId="3" fillId="0" borderId="0" xfId="4" applyFont="1" applyBorder="1" applyAlignment="1">
      <alignment vertical="center"/>
    </xf>
    <xf numFmtId="4" fontId="2" fillId="0" borderId="0" xfId="21" applyNumberFormat="1" applyFont="1" applyAlignment="1">
      <alignment horizontal="left"/>
    </xf>
    <xf numFmtId="4" fontId="2" fillId="0" borderId="0" xfId="21" applyNumberFormat="1" applyFont="1"/>
    <xf numFmtId="4" fontId="2" fillId="0" borderId="0" xfId="21" applyNumberFormat="1" applyFont="1" applyAlignment="1"/>
    <xf numFmtId="0" fontId="87" fillId="0" borderId="0" xfId="21" applyFont="1" applyAlignment="1">
      <alignment horizontal="left"/>
    </xf>
    <xf numFmtId="0" fontId="87" fillId="0" borderId="0" xfId="21" applyFont="1" applyAlignment="1">
      <alignment horizontal="center"/>
    </xf>
    <xf numFmtId="170" fontId="5" fillId="0" borderId="0" xfId="21" applyNumberFormat="1" applyFont="1" applyAlignment="1">
      <alignment horizontal="center"/>
    </xf>
    <xf numFmtId="0" fontId="1" fillId="0" borderId="0" xfId="1"/>
    <xf numFmtId="0" fontId="1" fillId="0" borderId="17" xfId="1" applyBorder="1"/>
    <xf numFmtId="0" fontId="3" fillId="0" borderId="4" xfId="1" applyNumberFormat="1" applyFont="1" applyFill="1" applyBorder="1" applyAlignment="1" applyProtection="1">
      <alignment horizontal="center" vertical="center"/>
      <protection locked="0"/>
    </xf>
    <xf numFmtId="0" fontId="3" fillId="0" borderId="4" xfId="1" applyFont="1" applyBorder="1" applyAlignment="1" applyProtection="1">
      <alignment horizontal="center" vertical="center"/>
    </xf>
    <xf numFmtId="9" fontId="3" fillId="0" borderId="4" xfId="8" applyFont="1" applyFill="1" applyBorder="1" applyAlignment="1" applyProtection="1">
      <alignment horizontal="center" vertical="center"/>
    </xf>
    <xf numFmtId="0" fontId="20" fillId="0" borderId="0" xfId="24" applyFont="1" applyAlignment="1">
      <alignment horizontal="left"/>
    </xf>
    <xf numFmtId="0" fontId="20" fillId="0" borderId="0" xfId="24" applyFont="1" applyAlignment="1">
      <alignment horizontal="center"/>
    </xf>
    <xf numFmtId="0" fontId="20" fillId="0" borderId="0" xfId="24" applyFont="1" applyAlignment="1">
      <alignment horizontal="right"/>
    </xf>
    <xf numFmtId="167" fontId="19" fillId="0" borderId="0" xfId="24" applyNumberFormat="1" applyFont="1" applyAlignment="1">
      <alignment horizontal="center"/>
    </xf>
    <xf numFmtId="0" fontId="19" fillId="0" borderId="0" xfId="24" applyFont="1"/>
    <xf numFmtId="0" fontId="20" fillId="0" borderId="0" xfId="25" applyFont="1" applyFill="1" applyProtection="1">
      <protection locked="0"/>
    </xf>
    <xf numFmtId="0" fontId="4" fillId="0" borderId="0" xfId="25" applyFont="1" applyFill="1" applyAlignment="1" applyProtection="1">
      <alignment horizontal="center"/>
      <protection locked="0"/>
    </xf>
    <xf numFmtId="0" fontId="1" fillId="0" borderId="0" xfId="24"/>
    <xf numFmtId="0" fontId="20" fillId="0" borderId="0" xfId="25" applyFont="1" applyFill="1" applyAlignment="1">
      <alignment horizontal="left"/>
    </xf>
    <xf numFmtId="1" fontId="20" fillId="0" borderId="0" xfId="24" applyNumberFormat="1" applyFont="1"/>
    <xf numFmtId="0" fontId="20" fillId="0" borderId="0" xfId="24" applyFont="1"/>
    <xf numFmtId="2" fontId="20" fillId="0" borderId="0" xfId="24" applyNumberFormat="1" applyFont="1" applyAlignment="1">
      <alignment horizontal="center"/>
    </xf>
    <xf numFmtId="167" fontId="20" fillId="0" borderId="0" xfId="25" applyNumberFormat="1" applyFont="1" applyFill="1" applyAlignment="1">
      <alignment horizontal="center"/>
    </xf>
    <xf numFmtId="0" fontId="20" fillId="5" borderId="17" xfId="24" applyFont="1" applyFill="1" applyBorder="1" applyAlignment="1">
      <alignment horizontal="center" vertical="center"/>
    </xf>
    <xf numFmtId="2" fontId="20" fillId="5" borderId="55" xfId="24" applyNumberFormat="1" applyFont="1" applyFill="1" applyBorder="1" applyAlignment="1">
      <alignment horizontal="center" vertical="center"/>
    </xf>
    <xf numFmtId="167" fontId="20" fillId="5" borderId="17" xfId="25" applyNumberFormat="1" applyFont="1" applyFill="1" applyBorder="1" applyAlignment="1">
      <alignment horizontal="center" vertical="center"/>
    </xf>
    <xf numFmtId="0" fontId="19" fillId="0" borderId="0" xfId="24" applyFont="1" applyAlignment="1">
      <alignment vertical="center"/>
    </xf>
    <xf numFmtId="0" fontId="20" fillId="0" borderId="19" xfId="24" applyFont="1" applyBorder="1" applyAlignment="1">
      <alignment horizontal="center"/>
    </xf>
    <xf numFmtId="3" fontId="20" fillId="0" borderId="19" xfId="24" applyNumberFormat="1" applyFont="1" applyBorder="1" applyAlignment="1">
      <alignment horizontal="center"/>
    </xf>
    <xf numFmtId="165" fontId="20" fillId="0" borderId="19" xfId="25" applyNumberFormat="1" applyFont="1" applyFill="1" applyBorder="1" applyAlignment="1">
      <alignment horizontal="center"/>
    </xf>
    <xf numFmtId="0" fontId="19" fillId="0" borderId="19" xfId="24" applyFont="1" applyBorder="1" applyAlignment="1" applyProtection="1">
      <alignment horizontal="center"/>
      <protection locked="0"/>
    </xf>
    <xf numFmtId="1" fontId="19" fillId="0" borderId="19" xfId="24" applyNumberFormat="1" applyFont="1" applyBorder="1" applyAlignment="1" applyProtection="1">
      <alignment wrapText="1"/>
      <protection locked="0"/>
    </xf>
    <xf numFmtId="1" fontId="19" fillId="0" borderId="0" xfId="24" applyNumberFormat="1" applyFont="1" applyAlignment="1" applyProtection="1">
      <alignment horizontal="center"/>
      <protection locked="0"/>
    </xf>
    <xf numFmtId="1" fontId="19" fillId="0" borderId="19" xfId="24" applyNumberFormat="1" applyFont="1" applyBorder="1" applyAlignment="1" applyProtection="1">
      <alignment horizontal="center"/>
      <protection locked="0"/>
    </xf>
    <xf numFmtId="165" fontId="19" fillId="0" borderId="0" xfId="24" applyNumberFormat="1" applyFont="1" applyAlignment="1" applyProtection="1">
      <alignment horizontal="center"/>
      <protection locked="0"/>
    </xf>
    <xf numFmtId="165" fontId="19" fillId="0" borderId="19" xfId="24" applyNumberFormat="1" applyFont="1" applyBorder="1" applyAlignment="1" applyProtection="1">
      <alignment horizontal="center"/>
      <protection locked="0"/>
    </xf>
    <xf numFmtId="2" fontId="19" fillId="0" borderId="19" xfId="24" applyNumberFormat="1" applyFont="1" applyBorder="1" applyAlignment="1" applyProtection="1">
      <alignment horizontal="center"/>
      <protection locked="0"/>
    </xf>
    <xf numFmtId="176" fontId="19" fillId="0" borderId="19" xfId="25" applyNumberFormat="1" applyFont="1" applyFill="1" applyBorder="1" applyAlignment="1" applyProtection="1">
      <alignment horizontal="center"/>
      <protection locked="0"/>
    </xf>
    <xf numFmtId="0" fontId="19" fillId="0" borderId="0" xfId="24" applyFont="1" applyAlignment="1" applyProtection="1">
      <alignment horizontal="center"/>
      <protection locked="0"/>
    </xf>
    <xf numFmtId="4" fontId="19" fillId="0" borderId="19" xfId="26" applyFont="1" applyBorder="1" applyAlignment="1">
      <alignment horizontal="center"/>
    </xf>
    <xf numFmtId="0" fontId="19" fillId="0" borderId="0" xfId="24" applyFont="1" applyProtection="1">
      <protection locked="0"/>
    </xf>
    <xf numFmtId="1" fontId="19" fillId="0" borderId="19" xfId="24" applyNumberFormat="1" applyFont="1" applyBorder="1" applyProtection="1">
      <protection locked="0"/>
    </xf>
    <xf numFmtId="0" fontId="20" fillId="0" borderId="23" xfId="1" applyFont="1" applyBorder="1" applyAlignment="1" applyProtection="1">
      <alignment horizontal="center"/>
      <protection locked="0"/>
    </xf>
    <xf numFmtId="1" fontId="20" fillId="0" borderId="23" xfId="1" applyNumberFormat="1" applyFont="1" applyBorder="1" applyProtection="1">
      <protection locked="0"/>
    </xf>
    <xf numFmtId="1" fontId="20" fillId="0" borderId="61" xfId="1" applyNumberFormat="1" applyFont="1" applyBorder="1" applyAlignment="1" applyProtection="1">
      <alignment horizontal="center"/>
      <protection locked="0"/>
    </xf>
    <xf numFmtId="2" fontId="20" fillId="0" borderId="23" xfId="1" applyNumberFormat="1" applyFont="1" applyBorder="1" applyAlignment="1" applyProtection="1">
      <alignment horizontal="center"/>
      <protection locked="0"/>
    </xf>
    <xf numFmtId="165" fontId="20" fillId="0" borderId="61" xfId="1" applyNumberFormat="1" applyFont="1" applyBorder="1" applyAlignment="1" applyProtection="1">
      <alignment horizontal="center"/>
      <protection locked="0"/>
    </xf>
    <xf numFmtId="165" fontId="20" fillId="0" borderId="23" xfId="1" applyNumberFormat="1" applyFont="1" applyBorder="1" applyAlignment="1" applyProtection="1">
      <alignment horizontal="center"/>
      <protection locked="0"/>
    </xf>
    <xf numFmtId="0" fontId="20" fillId="0" borderId="0" xfId="1" applyFont="1" applyProtection="1">
      <protection locked="0"/>
    </xf>
    <xf numFmtId="0" fontId="20" fillId="0" borderId="81" xfId="1" applyFont="1" applyBorder="1" applyAlignment="1" applyProtection="1">
      <alignment horizontal="center"/>
      <protection locked="0"/>
    </xf>
    <xf numFmtId="1" fontId="20" fillId="0" borderId="81" xfId="1" applyNumberFormat="1" applyFont="1" applyBorder="1" applyProtection="1">
      <protection locked="0"/>
    </xf>
    <xf numFmtId="1" fontId="20" fillId="0" borderId="81" xfId="1" applyNumberFormat="1" applyFont="1" applyBorder="1" applyAlignment="1" applyProtection="1">
      <alignment horizontal="center"/>
      <protection locked="0"/>
    </xf>
    <xf numFmtId="2" fontId="20" fillId="0" borderId="81" xfId="1" applyNumberFormat="1" applyFont="1" applyBorder="1" applyAlignment="1" applyProtection="1">
      <alignment horizontal="center"/>
      <protection locked="0"/>
    </xf>
    <xf numFmtId="165" fontId="20" fillId="0" borderId="81" xfId="1" applyNumberFormat="1" applyFont="1" applyBorder="1" applyAlignment="1" applyProtection="1">
      <alignment horizontal="center"/>
      <protection locked="0"/>
    </xf>
    <xf numFmtId="0" fontId="20" fillId="0" borderId="24" xfId="1" applyFont="1" applyBorder="1" applyAlignment="1" applyProtection="1">
      <alignment horizontal="center"/>
      <protection locked="0"/>
    </xf>
    <xf numFmtId="1" fontId="20" fillId="0" borderId="24" xfId="1" applyNumberFormat="1" applyFont="1" applyBorder="1" applyProtection="1">
      <protection locked="0"/>
    </xf>
    <xf numFmtId="1" fontId="20" fillId="0" borderId="36" xfId="1" applyNumberFormat="1" applyFont="1" applyBorder="1" applyAlignment="1" applyProtection="1">
      <alignment horizontal="center"/>
      <protection locked="0"/>
    </xf>
    <xf numFmtId="2" fontId="20" fillId="0" borderId="24" xfId="1" applyNumberFormat="1" applyFont="1" applyBorder="1" applyAlignment="1" applyProtection="1">
      <alignment horizontal="center"/>
      <protection locked="0"/>
    </xf>
    <xf numFmtId="165" fontId="20" fillId="0" borderId="36" xfId="1" applyNumberFormat="1" applyFont="1" applyBorder="1" applyAlignment="1" applyProtection="1">
      <alignment horizontal="center"/>
      <protection locked="0"/>
    </xf>
    <xf numFmtId="165" fontId="20" fillId="0" borderId="24" xfId="1" applyNumberFormat="1" applyFont="1" applyBorder="1" applyAlignment="1" applyProtection="1">
      <alignment horizontal="center"/>
      <protection locked="0"/>
    </xf>
    <xf numFmtId="1" fontId="20" fillId="0" borderId="19" xfId="24" applyNumberFormat="1" applyFont="1" applyBorder="1" applyProtection="1">
      <protection locked="0"/>
    </xf>
    <xf numFmtId="1" fontId="20" fillId="0" borderId="0" xfId="24" applyNumberFormat="1" applyFont="1" applyProtection="1">
      <protection locked="0"/>
    </xf>
    <xf numFmtId="49" fontId="19" fillId="0" borderId="19" xfId="24" applyNumberFormat="1" applyFont="1" applyBorder="1" applyAlignment="1" applyProtection="1">
      <alignment horizontal="center"/>
      <protection locked="0"/>
    </xf>
    <xf numFmtId="169" fontId="19" fillId="0" borderId="19" xfId="24" applyNumberFormat="1" applyFont="1" applyBorder="1" applyAlignment="1" applyProtection="1">
      <alignment horizontal="center"/>
      <protection locked="0"/>
    </xf>
    <xf numFmtId="0" fontId="19" fillId="0" borderId="19" xfId="24" applyFont="1" applyBorder="1"/>
    <xf numFmtId="165" fontId="19" fillId="0" borderId="0" xfId="24" applyNumberFormat="1" applyFont="1" applyAlignment="1">
      <alignment horizontal="center"/>
    </xf>
    <xf numFmtId="1" fontId="19" fillId="0" borderId="19" xfId="24" applyNumberFormat="1" applyFont="1" applyBorder="1" applyAlignment="1">
      <alignment horizontal="center"/>
    </xf>
    <xf numFmtId="0" fontId="19" fillId="0" borderId="19" xfId="24" applyFont="1" applyBorder="1" applyAlignment="1">
      <alignment horizontal="center"/>
    </xf>
    <xf numFmtId="0" fontId="19" fillId="0" borderId="19" xfId="24" applyFont="1" applyBorder="1" applyAlignment="1">
      <alignment horizontal="left"/>
    </xf>
    <xf numFmtId="0" fontId="19" fillId="0" borderId="0" xfId="24" applyFont="1" applyAlignment="1">
      <alignment horizontal="center"/>
    </xf>
    <xf numFmtId="1" fontId="19" fillId="0" borderId="19" xfId="24" applyNumberFormat="1" applyFont="1" applyBorder="1" applyAlignment="1">
      <alignment horizontal="center" vertical="center"/>
    </xf>
    <xf numFmtId="2" fontId="19" fillId="0" borderId="0" xfId="24" applyNumberFormat="1" applyFont="1" applyAlignment="1">
      <alignment horizontal="center"/>
    </xf>
    <xf numFmtId="165" fontId="19" fillId="0" borderId="19" xfId="25" applyNumberFormat="1" applyFont="1" applyFill="1" applyBorder="1" applyAlignment="1">
      <alignment horizontal="center"/>
    </xf>
    <xf numFmtId="0" fontId="20" fillId="0" borderId="17" xfId="24" applyFont="1" applyBorder="1" applyAlignment="1" applyProtection="1">
      <alignment horizontal="center" vertical="center"/>
      <protection locked="0"/>
    </xf>
    <xf numFmtId="0" fontId="20" fillId="11" borderId="55" xfId="25" applyFont="1" applyBorder="1" applyAlignment="1">
      <alignment horizontal="center" vertical="center"/>
    </xf>
    <xf numFmtId="0" fontId="20" fillId="11" borderId="56" xfId="25" applyFont="1" applyBorder="1" applyAlignment="1">
      <alignment horizontal="center" vertical="center"/>
    </xf>
    <xf numFmtId="2" fontId="20" fillId="0" borderId="17" xfId="24" applyNumberFormat="1" applyFont="1" applyBorder="1" applyAlignment="1" applyProtection="1">
      <alignment vertical="center"/>
      <protection locked="0"/>
    </xf>
    <xf numFmtId="2" fontId="20" fillId="0" borderId="81" xfId="24" applyNumberFormat="1" applyFont="1" applyBorder="1" applyAlignment="1" applyProtection="1">
      <alignment horizontal="center" vertical="center"/>
      <protection locked="0"/>
    </xf>
    <xf numFmtId="165" fontId="20" fillId="0" borderId="17" xfId="24" applyNumberFormat="1" applyFont="1" applyBorder="1" applyAlignment="1" applyProtection="1">
      <alignment horizontal="center" vertical="center"/>
      <protection locked="0"/>
    </xf>
    <xf numFmtId="177" fontId="19" fillId="0" borderId="0" xfId="25" applyNumberFormat="1" applyFont="1" applyFill="1" applyAlignment="1">
      <alignment horizontal="center"/>
    </xf>
    <xf numFmtId="1" fontId="19" fillId="0" borderId="0" xfId="24" applyNumberFormat="1" applyFont="1" applyAlignment="1" applyProtection="1">
      <alignment wrapText="1"/>
      <protection locked="0"/>
    </xf>
    <xf numFmtId="2" fontId="19" fillId="0" borderId="0" xfId="24" applyNumberFormat="1" applyFont="1" applyAlignment="1" applyProtection="1">
      <alignment horizontal="center"/>
      <protection locked="0"/>
    </xf>
    <xf numFmtId="177" fontId="19" fillId="0" borderId="0" xfId="24" applyNumberFormat="1" applyFont="1" applyAlignment="1" applyProtection="1">
      <alignment horizontal="center"/>
      <protection locked="0"/>
    </xf>
    <xf numFmtId="0" fontId="21" fillId="0" borderId="0" xfId="24" applyFont="1" applyAlignment="1">
      <alignment horizontal="left"/>
    </xf>
    <xf numFmtId="0" fontId="21" fillId="0" borderId="0" xfId="24" applyFont="1" applyAlignment="1">
      <alignment horizontal="center"/>
    </xf>
    <xf numFmtId="0" fontId="21" fillId="0" borderId="0" xfId="24" applyFont="1" applyAlignment="1">
      <alignment horizontal="right"/>
    </xf>
    <xf numFmtId="0" fontId="1" fillId="0" borderId="0" xfId="24" applyFont="1"/>
    <xf numFmtId="0" fontId="21" fillId="0" borderId="0" xfId="24" applyFont="1"/>
    <xf numFmtId="0" fontId="21" fillId="0" borderId="0" xfId="25" applyFont="1" applyFill="1"/>
    <xf numFmtId="1" fontId="21" fillId="0" borderId="0" xfId="24" applyNumberFormat="1" applyFont="1"/>
    <xf numFmtId="2" fontId="21" fillId="0" borderId="0" xfId="24" applyNumberFormat="1" applyFont="1" applyAlignment="1">
      <alignment horizontal="center"/>
    </xf>
    <xf numFmtId="167" fontId="21" fillId="0" borderId="0" xfId="25" applyNumberFormat="1" applyFont="1" applyFill="1" applyAlignment="1">
      <alignment horizontal="center"/>
    </xf>
    <xf numFmtId="0" fontId="21" fillId="5" borderId="17" xfId="24" applyFont="1" applyFill="1" applyBorder="1" applyAlignment="1">
      <alignment horizontal="center" vertical="center"/>
    </xf>
    <xf numFmtId="2" fontId="21" fillId="5" borderId="55" xfId="24" applyNumberFormat="1" applyFont="1" applyFill="1" applyBorder="1" applyAlignment="1">
      <alignment horizontal="center" vertical="center"/>
    </xf>
    <xf numFmtId="167" fontId="21" fillId="5" borderId="17" xfId="25" applyNumberFormat="1" applyFont="1" applyFill="1" applyBorder="1" applyAlignment="1">
      <alignment horizontal="center" vertical="center"/>
    </xf>
    <xf numFmtId="0" fontId="1" fillId="0" borderId="0" xfId="24" applyFont="1" applyAlignment="1">
      <alignment vertical="center"/>
    </xf>
    <xf numFmtId="0" fontId="21" fillId="0" borderId="23" xfId="24" applyFont="1" applyBorder="1" applyAlignment="1">
      <alignment horizontal="center"/>
    </xf>
    <xf numFmtId="2" fontId="21" fillId="0" borderId="23" xfId="24" applyNumberFormat="1" applyFont="1" applyBorder="1" applyAlignment="1">
      <alignment horizontal="center"/>
    </xf>
    <xf numFmtId="167" fontId="21" fillId="0" borderId="23" xfId="25" applyNumberFormat="1" applyFont="1" applyFill="1" applyBorder="1" applyAlignment="1">
      <alignment horizontal="center"/>
    </xf>
    <xf numFmtId="0" fontId="21" fillId="0" borderId="19" xfId="24" applyFont="1" applyBorder="1" applyAlignment="1">
      <alignment horizontal="center"/>
    </xf>
    <xf numFmtId="165" fontId="21" fillId="0" borderId="19" xfId="24" applyNumberFormat="1" applyFont="1" applyBorder="1" applyAlignment="1">
      <alignment horizontal="center"/>
    </xf>
    <xf numFmtId="165" fontId="21" fillId="0" borderId="19" xfId="25" applyNumberFormat="1" applyFont="1" applyFill="1" applyBorder="1" applyAlignment="1">
      <alignment horizontal="center"/>
    </xf>
    <xf numFmtId="0" fontId="1" fillId="0" borderId="19" xfId="24" applyFont="1" applyBorder="1" applyAlignment="1">
      <alignment horizontal="center"/>
    </xf>
    <xf numFmtId="1" fontId="1" fillId="0" borderId="19" xfId="24" applyNumberFormat="1" applyFont="1" applyBorder="1"/>
    <xf numFmtId="1" fontId="1" fillId="0" borderId="19" xfId="24" applyNumberFormat="1" applyFont="1" applyBorder="1" applyAlignment="1">
      <alignment horizontal="center"/>
    </xf>
    <xf numFmtId="165" fontId="1" fillId="0" borderId="19" xfId="24" applyNumberFormat="1" applyFont="1" applyBorder="1" applyAlignment="1">
      <alignment horizontal="center"/>
    </xf>
    <xf numFmtId="176" fontId="1" fillId="0" borderId="19" xfId="25" applyNumberFormat="1" applyFont="1" applyFill="1" applyBorder="1" applyAlignment="1" applyProtection="1">
      <alignment horizontal="center"/>
      <protection locked="0"/>
    </xf>
    <xf numFmtId="2" fontId="1" fillId="0" borderId="19" xfId="24" applyNumberFormat="1" applyFont="1" applyBorder="1" applyAlignment="1">
      <alignment horizontal="center"/>
    </xf>
    <xf numFmtId="1" fontId="1" fillId="0" borderId="19" xfId="24" applyNumberFormat="1" applyFont="1" applyBorder="1" applyAlignment="1">
      <alignment wrapText="1"/>
    </xf>
    <xf numFmtId="165" fontId="1" fillId="0" borderId="40" xfId="24" applyNumberFormat="1" applyFont="1" applyBorder="1" applyAlignment="1">
      <alignment horizontal="center"/>
    </xf>
    <xf numFmtId="1" fontId="1" fillId="0" borderId="0" xfId="24" applyNumberFormat="1" applyFont="1" applyAlignment="1">
      <alignment wrapText="1"/>
    </xf>
    <xf numFmtId="1" fontId="1" fillId="0" borderId="0" xfId="24" applyNumberFormat="1" applyFont="1" applyAlignment="1">
      <alignment horizontal="center"/>
    </xf>
    <xf numFmtId="1" fontId="1" fillId="0" borderId="0" xfId="24" applyNumberFormat="1" applyFont="1"/>
    <xf numFmtId="0" fontId="1" fillId="0" borderId="19" xfId="24" applyFont="1" applyBorder="1" applyAlignment="1">
      <alignment horizontal="center" vertical="top" wrapText="1"/>
    </xf>
    <xf numFmtId="0" fontId="89" fillId="0" borderId="19" xfId="24" applyFont="1" applyBorder="1" applyAlignment="1">
      <alignment horizontal="center"/>
    </xf>
    <xf numFmtId="1" fontId="89" fillId="0" borderId="0" xfId="24" applyNumberFormat="1" applyFont="1"/>
    <xf numFmtId="1" fontId="89" fillId="0" borderId="19" xfId="24" applyNumberFormat="1" applyFont="1" applyBorder="1" applyAlignment="1">
      <alignment horizontal="center"/>
    </xf>
    <xf numFmtId="1" fontId="89" fillId="0" borderId="0" xfId="24" applyNumberFormat="1" applyFont="1" applyAlignment="1">
      <alignment horizontal="center"/>
    </xf>
    <xf numFmtId="165" fontId="89" fillId="0" borderId="19" xfId="24" applyNumberFormat="1" applyFont="1" applyBorder="1" applyAlignment="1">
      <alignment horizontal="center"/>
    </xf>
    <xf numFmtId="165" fontId="89" fillId="0" borderId="40" xfId="24" applyNumberFormat="1" applyFont="1" applyBorder="1" applyAlignment="1">
      <alignment horizontal="center"/>
    </xf>
    <xf numFmtId="0" fontId="21" fillId="0" borderId="17" xfId="25" applyFont="1" applyFill="1" applyBorder="1" applyAlignment="1">
      <alignment horizontal="center" vertical="center"/>
    </xf>
    <xf numFmtId="0" fontId="21" fillId="11" borderId="55" xfId="25" applyFont="1" applyBorder="1" applyAlignment="1">
      <alignment horizontal="center" vertical="center"/>
    </xf>
    <xf numFmtId="0" fontId="21" fillId="11" borderId="56" xfId="25" applyFont="1" applyBorder="1" applyAlignment="1">
      <alignment horizontal="center" vertical="center"/>
    </xf>
    <xf numFmtId="1" fontId="89" fillId="0" borderId="81" xfId="24" applyNumberFormat="1" applyFont="1" applyBorder="1" applyAlignment="1">
      <alignment horizontal="center" vertical="center"/>
    </xf>
    <xf numFmtId="165" fontId="89" fillId="0" borderId="17" xfId="24" applyNumberFormat="1" applyFont="1" applyBorder="1" applyAlignment="1">
      <alignment horizontal="center" vertical="center"/>
    </xf>
    <xf numFmtId="167" fontId="21" fillId="0" borderId="56" xfId="24" applyNumberFormat="1" applyFont="1" applyBorder="1" applyAlignment="1">
      <alignment horizontal="center" vertical="center"/>
    </xf>
    <xf numFmtId="2" fontId="1" fillId="0" borderId="0" xfId="24" applyNumberFormat="1" applyFont="1" applyAlignment="1">
      <alignment horizontal="center"/>
    </xf>
    <xf numFmtId="167" fontId="1" fillId="0" borderId="0" xfId="24" applyNumberFormat="1" applyFont="1" applyAlignment="1">
      <alignment horizontal="center"/>
    </xf>
    <xf numFmtId="44" fontId="21" fillId="0" borderId="0" xfId="24" applyNumberFormat="1" applyFont="1" applyAlignment="1">
      <alignment horizontal="right"/>
    </xf>
    <xf numFmtId="44" fontId="21" fillId="0" borderId="0" xfId="24" applyNumberFormat="1" applyFont="1" applyAlignment="1">
      <alignment horizontal="center"/>
    </xf>
    <xf numFmtId="0" fontId="21" fillId="0" borderId="0" xfId="24" applyFont="1" applyAlignment="1">
      <alignment wrapText="1"/>
    </xf>
    <xf numFmtId="0" fontId="1" fillId="0" borderId="0" xfId="24" applyFont="1" applyAlignment="1">
      <alignment horizontal="center"/>
    </xf>
    <xf numFmtId="44" fontId="1" fillId="0" borderId="0" xfId="24" applyNumberFormat="1" applyFont="1" applyAlignment="1">
      <alignment horizontal="center"/>
    </xf>
    <xf numFmtId="44" fontId="1" fillId="0" borderId="0" xfId="25" applyNumberFormat="1" applyFont="1" applyFill="1" applyAlignment="1">
      <alignment horizontal="center"/>
    </xf>
    <xf numFmtId="44" fontId="21" fillId="0" borderId="0" xfId="25" applyNumberFormat="1" applyFont="1" applyFill="1" applyAlignment="1">
      <alignment horizontal="center"/>
    </xf>
    <xf numFmtId="44" fontId="21" fillId="5" borderId="17" xfId="25" applyNumberFormat="1" applyFont="1" applyFill="1" applyBorder="1" applyAlignment="1">
      <alignment horizontal="center" vertical="center"/>
    </xf>
    <xf numFmtId="0" fontId="1" fillId="0" borderId="23" xfId="24" applyFont="1" applyBorder="1" applyAlignment="1">
      <alignment horizontal="center"/>
    </xf>
    <xf numFmtId="0" fontId="1" fillId="0" borderId="23" xfId="24" applyFont="1" applyBorder="1" applyAlignment="1">
      <alignment horizontal="center" wrapText="1"/>
    </xf>
    <xf numFmtId="165" fontId="1" fillId="0" borderId="23" xfId="24" applyNumberFormat="1" applyFont="1" applyBorder="1" applyAlignment="1">
      <alignment horizontal="center"/>
    </xf>
    <xf numFmtId="44" fontId="1" fillId="0" borderId="23" xfId="25" applyNumberFormat="1" applyFont="1" applyFill="1" applyBorder="1" applyAlignment="1">
      <alignment horizontal="center"/>
    </xf>
    <xf numFmtId="44" fontId="1" fillId="0" borderId="19" xfId="24" applyNumberFormat="1" applyFont="1" applyBorder="1" applyAlignment="1">
      <alignment horizontal="center"/>
    </xf>
    <xf numFmtId="1" fontId="90" fillId="0" borderId="0" xfId="24" applyNumberFormat="1" applyFont="1" applyAlignment="1">
      <alignment horizontal="center"/>
    </xf>
    <xf numFmtId="44" fontId="1" fillId="0" borderId="19" xfId="25" applyNumberFormat="1" applyFont="1" applyFill="1" applyBorder="1" applyAlignment="1" applyProtection="1">
      <alignment horizontal="center"/>
      <protection locked="0"/>
    </xf>
    <xf numFmtId="0" fontId="1" fillId="0" borderId="19" xfId="24" applyFont="1" applyBorder="1"/>
    <xf numFmtId="1" fontId="21" fillId="0" borderId="0" xfId="24" applyNumberFormat="1" applyFont="1" applyAlignment="1">
      <alignment wrapText="1"/>
    </xf>
    <xf numFmtId="1" fontId="1" fillId="0" borderId="38" xfId="24" applyNumberFormat="1" applyFont="1" applyBorder="1" applyAlignment="1">
      <alignment horizontal="center"/>
    </xf>
    <xf numFmtId="165" fontId="1" fillId="0" borderId="38" xfId="24" applyNumberFormat="1" applyFont="1" applyBorder="1" applyAlignment="1">
      <alignment horizontal="center"/>
    </xf>
    <xf numFmtId="44" fontId="1" fillId="0" borderId="40" xfId="24" applyNumberFormat="1" applyFont="1" applyBorder="1" applyAlignment="1">
      <alignment horizontal="center"/>
    </xf>
    <xf numFmtId="0" fontId="1" fillId="0" borderId="24" xfId="24" applyFont="1" applyBorder="1" applyProtection="1">
      <protection locked="0"/>
    </xf>
    <xf numFmtId="1" fontId="1" fillId="0" borderId="24" xfId="24" applyNumberFormat="1" applyFont="1" applyBorder="1" applyProtection="1">
      <protection locked="0"/>
    </xf>
    <xf numFmtId="1" fontId="1" fillId="0" borderId="24" xfId="24" applyNumberFormat="1" applyFont="1" applyBorder="1" applyAlignment="1" applyProtection="1">
      <alignment horizontal="center"/>
      <protection locked="0"/>
    </xf>
    <xf numFmtId="165" fontId="1" fillId="0" borderId="24" xfId="24" applyNumberFormat="1" applyFont="1" applyBorder="1" applyAlignment="1" applyProtection="1">
      <alignment horizontal="center"/>
      <protection locked="0"/>
    </xf>
    <xf numFmtId="44" fontId="1" fillId="0" borderId="24" xfId="24" applyNumberFormat="1" applyFont="1" applyBorder="1" applyAlignment="1" applyProtection="1">
      <alignment horizontal="center"/>
      <protection locked="0"/>
    </xf>
    <xf numFmtId="0" fontId="1" fillId="0" borderId="0" xfId="24" applyFont="1" applyProtection="1">
      <protection locked="0"/>
    </xf>
    <xf numFmtId="0" fontId="21" fillId="0" borderId="17" xfId="24" applyFont="1" applyBorder="1" applyAlignment="1">
      <alignment horizontal="center" vertical="center"/>
    </xf>
    <xf numFmtId="1" fontId="21" fillId="0" borderId="81" xfId="24" applyNumberFormat="1" applyFont="1" applyBorder="1" applyAlignment="1">
      <alignment horizontal="center" vertical="center"/>
    </xf>
    <xf numFmtId="165" fontId="21" fillId="0" borderId="17" xfId="24" applyNumberFormat="1" applyFont="1" applyBorder="1" applyAlignment="1">
      <alignment horizontal="center" vertical="center"/>
    </xf>
    <xf numFmtId="44" fontId="21" fillId="0" borderId="56" xfId="24" applyNumberFormat="1" applyFont="1" applyBorder="1" applyAlignment="1">
      <alignment horizontal="center" vertical="center"/>
    </xf>
    <xf numFmtId="0" fontId="1" fillId="0" borderId="0" xfId="24" applyFont="1" applyAlignment="1">
      <alignment wrapText="1"/>
    </xf>
    <xf numFmtId="44" fontId="1" fillId="0" borderId="0" xfId="24" applyNumberFormat="1" applyFont="1"/>
    <xf numFmtId="44" fontId="21" fillId="0" borderId="0" xfId="24" applyNumberFormat="1" applyFont="1"/>
    <xf numFmtId="0" fontId="1" fillId="0" borderId="0" xfId="1" applyFont="1"/>
    <xf numFmtId="0" fontId="21" fillId="0" borderId="25" xfId="27" applyFont="1" applyBorder="1" applyAlignment="1">
      <alignment horizontal="left" vertical="center" wrapText="1"/>
    </xf>
    <xf numFmtId="0" fontId="21" fillId="0" borderId="26" xfId="27" applyFont="1" applyBorder="1" applyAlignment="1">
      <alignment horizontal="center" vertical="center"/>
    </xf>
    <xf numFmtId="178" fontId="21" fillId="0" borderId="26" xfId="27" applyNumberFormat="1" applyFont="1" applyBorder="1" applyAlignment="1">
      <alignment horizontal="right" vertical="center"/>
    </xf>
    <xf numFmtId="178" fontId="21" fillId="0" borderId="27" xfId="27" applyNumberFormat="1" applyFont="1" applyBorder="1" applyAlignment="1">
      <alignment horizontal="right" vertical="center"/>
    </xf>
    <xf numFmtId="49" fontId="92" fillId="0" borderId="168" xfId="28" applyNumberFormat="1" applyFont="1" applyBorder="1" applyAlignment="1">
      <alignment horizontal="center"/>
    </xf>
    <xf numFmtId="0" fontId="92" fillId="0" borderId="23" xfId="28" applyFont="1" applyBorder="1" applyAlignment="1">
      <alignment horizontal="left" wrapText="1"/>
    </xf>
    <xf numFmtId="49" fontId="92" fillId="0" borderId="79" xfId="28" applyNumberFormat="1" applyFont="1" applyBorder="1" applyAlignment="1">
      <alignment horizontal="center"/>
    </xf>
    <xf numFmtId="0" fontId="1" fillId="0" borderId="23" xfId="27" applyFont="1" applyBorder="1" applyAlignment="1">
      <alignment horizontal="center" vertical="center" wrapText="1"/>
    </xf>
    <xf numFmtId="178" fontId="1" fillId="0" borderId="23" xfId="27" applyNumberFormat="1" applyFont="1" applyBorder="1" applyAlignment="1">
      <alignment horizontal="right" vertical="center" wrapText="1"/>
    </xf>
    <xf numFmtId="178" fontId="1" fillId="0" borderId="99" xfId="27" applyNumberFormat="1" applyFont="1" applyBorder="1" applyAlignment="1">
      <alignment horizontal="right" vertical="center" wrapText="1"/>
    </xf>
    <xf numFmtId="0" fontId="20" fillId="0" borderId="50" xfId="1" applyFont="1" applyBorder="1" applyAlignment="1">
      <alignment horizontal="center" vertical="top" wrapText="1"/>
    </xf>
    <xf numFmtId="0" fontId="20" fillId="0" borderId="19" xfId="1" applyFont="1" applyBorder="1" applyAlignment="1">
      <alignment vertical="top" wrapText="1"/>
    </xf>
    <xf numFmtId="0" fontId="19" fillId="0" borderId="0" xfId="1" applyFont="1" applyAlignment="1">
      <alignment horizontal="center" vertical="top" wrapText="1"/>
    </xf>
    <xf numFmtId="0" fontId="19" fillId="0" borderId="19" xfId="27" applyFont="1" applyBorder="1" applyAlignment="1">
      <alignment horizontal="center" vertical="center" wrapText="1"/>
    </xf>
    <xf numFmtId="178" fontId="19" fillId="0" borderId="19" xfId="27" applyNumberFormat="1" applyFont="1" applyBorder="1" applyAlignment="1">
      <alignment horizontal="right" vertical="center" wrapText="1"/>
    </xf>
    <xf numFmtId="178" fontId="19" fillId="0" borderId="12" xfId="27" applyNumberFormat="1" applyFont="1" applyBorder="1" applyAlignment="1">
      <alignment horizontal="right" vertical="center" wrapText="1"/>
    </xf>
    <xf numFmtId="0" fontId="19" fillId="0" borderId="50" xfId="27" applyFont="1" applyBorder="1" applyAlignment="1">
      <alignment horizontal="left" vertical="center" wrapText="1"/>
    </xf>
    <xf numFmtId="0" fontId="19" fillId="0" borderId="19" xfId="27" applyFont="1" applyBorder="1" applyAlignment="1">
      <alignment horizontal="left" vertical="center" wrapText="1"/>
    </xf>
    <xf numFmtId="0" fontId="93" fillId="0" borderId="38" xfId="27" applyFont="1" applyBorder="1" applyAlignment="1">
      <alignment horizontal="center" vertical="center"/>
    </xf>
    <xf numFmtId="0" fontId="93" fillId="0" borderId="19" xfId="27" applyFont="1" applyBorder="1" applyAlignment="1">
      <alignment horizontal="center" vertical="center"/>
    </xf>
    <xf numFmtId="0" fontId="93" fillId="0" borderId="19" xfId="27" applyFont="1" applyBorder="1" applyAlignment="1">
      <alignment horizontal="right" vertical="center"/>
    </xf>
    <xf numFmtId="0" fontId="93" fillId="0" borderId="12" xfId="27" applyFont="1" applyBorder="1" applyAlignment="1">
      <alignment horizontal="right" vertical="center"/>
    </xf>
    <xf numFmtId="0" fontId="19" fillId="0" borderId="50" xfId="1" applyFont="1" applyBorder="1" applyAlignment="1">
      <alignment horizontal="center" vertical="center" wrapText="1"/>
    </xf>
    <xf numFmtId="0" fontId="19" fillId="0" borderId="50" xfId="1" applyFont="1" applyBorder="1" applyAlignment="1">
      <alignment horizontal="center" vertical="top" wrapText="1"/>
    </xf>
    <xf numFmtId="0" fontId="19" fillId="0" borderId="19" xfId="1" applyFont="1" applyBorder="1" applyAlignment="1">
      <alignment vertical="top" wrapText="1"/>
    </xf>
    <xf numFmtId="0" fontId="1" fillId="0" borderId="0" xfId="1" applyFont="1" applyAlignment="1">
      <alignment horizontal="center"/>
    </xf>
    <xf numFmtId="0" fontId="19" fillId="0" borderId="19" xfId="1" applyFont="1" applyBorder="1" applyAlignment="1">
      <alignment horizontal="center" vertical="center" wrapText="1"/>
    </xf>
    <xf numFmtId="169" fontId="19" fillId="0" borderId="19" xfId="27" applyNumberFormat="1" applyFont="1" applyBorder="1" applyAlignment="1">
      <alignment horizontal="center" vertical="center" wrapText="1"/>
    </xf>
    <xf numFmtId="165" fontId="19" fillId="0" borderId="19" xfId="24" applyNumberFormat="1" applyFont="1" applyBorder="1" applyAlignment="1">
      <alignment horizontal="right"/>
    </xf>
    <xf numFmtId="0" fontId="19" fillId="0" borderId="0" xfId="1" applyFont="1" applyAlignment="1">
      <alignment horizontal="center" vertical="center" wrapText="1"/>
    </xf>
    <xf numFmtId="178" fontId="19" fillId="0" borderId="31" xfId="27" applyNumberFormat="1" applyFont="1" applyBorder="1" applyAlignment="1">
      <alignment horizontal="right" vertical="center" wrapText="1"/>
    </xf>
    <xf numFmtId="0" fontId="19" fillId="0" borderId="19" xfId="1" applyFont="1" applyBorder="1" applyAlignment="1">
      <alignment horizontal="left" vertical="top" wrapText="1"/>
    </xf>
    <xf numFmtId="2" fontId="19" fillId="0" borderId="19" xfId="27" applyNumberFormat="1" applyFont="1" applyBorder="1" applyAlignment="1">
      <alignment horizontal="center" vertical="center" wrapText="1"/>
    </xf>
    <xf numFmtId="178" fontId="19" fillId="0" borderId="0" xfId="27" applyNumberFormat="1" applyFont="1" applyAlignment="1">
      <alignment horizontal="right" vertical="center" wrapText="1"/>
    </xf>
    <xf numFmtId="0" fontId="20" fillId="0" borderId="50" xfId="1" applyFont="1" applyBorder="1" applyAlignment="1">
      <alignment horizontal="center" vertical="center" wrapText="1"/>
    </xf>
    <xf numFmtId="0" fontId="20" fillId="0" borderId="19" xfId="1" applyFont="1" applyBorder="1" applyAlignment="1">
      <alignment vertical="center" wrapText="1"/>
    </xf>
    <xf numFmtId="0" fontId="19" fillId="0" borderId="19" xfId="1" applyFont="1" applyBorder="1" applyAlignment="1">
      <alignment vertical="center" wrapText="1"/>
    </xf>
    <xf numFmtId="0" fontId="19" fillId="0" borderId="50" xfId="1" applyFont="1" applyBorder="1" applyAlignment="1">
      <alignment vertical="center" wrapText="1"/>
    </xf>
    <xf numFmtId="0" fontId="19" fillId="0" borderId="50" xfId="1" applyFont="1" applyBorder="1" applyAlignment="1">
      <alignment vertical="top" wrapText="1"/>
    </xf>
    <xf numFmtId="0" fontId="19" fillId="0" borderId="2" xfId="1" applyFont="1" applyBorder="1"/>
    <xf numFmtId="0" fontId="19" fillId="0" borderId="19" xfId="1" applyFont="1" applyBorder="1"/>
    <xf numFmtId="0" fontId="19" fillId="0" borderId="19" xfId="1" applyFont="1" applyBorder="1" applyAlignment="1">
      <alignment horizontal="center"/>
    </xf>
    <xf numFmtId="0" fontId="19" fillId="0" borderId="0" xfId="1" applyFont="1" applyAlignment="1">
      <alignment horizontal="center"/>
    </xf>
    <xf numFmtId="0" fontId="19" fillId="0" borderId="19" xfId="1" applyFont="1" applyBorder="1" applyAlignment="1">
      <alignment horizontal="right"/>
    </xf>
    <xf numFmtId="0" fontId="19" fillId="0" borderId="12" xfId="1" applyFont="1" applyBorder="1" applyAlignment="1">
      <alignment horizontal="right"/>
    </xf>
    <xf numFmtId="0" fontId="21" fillId="0" borderId="98" xfId="24" applyFont="1" applyBorder="1" applyAlignment="1">
      <alignment horizontal="center" vertical="center"/>
    </xf>
    <xf numFmtId="44" fontId="21" fillId="0" borderId="169" xfId="24" applyNumberFormat="1" applyFont="1" applyBorder="1" applyAlignment="1">
      <alignment horizontal="right" vertical="center"/>
    </xf>
    <xf numFmtId="0" fontId="21" fillId="0" borderId="0" xfId="1" applyFont="1" applyAlignment="1">
      <alignment horizontal="center"/>
    </xf>
    <xf numFmtId="0" fontId="1" fillId="0" borderId="0" xfId="1" applyFont="1" applyAlignment="1">
      <alignment horizontal="right"/>
    </xf>
    <xf numFmtId="0" fontId="1" fillId="0" borderId="0" xfId="25" applyFont="1" applyFill="1" applyAlignment="1">
      <alignment horizontal="center"/>
    </xf>
    <xf numFmtId="167" fontId="1" fillId="0" borderId="40" xfId="24" applyNumberFormat="1" applyFont="1" applyBorder="1" applyAlignment="1">
      <alignment horizontal="center"/>
    </xf>
    <xf numFmtId="165" fontId="1" fillId="0" borderId="23" xfId="25" applyNumberFormat="1" applyFont="1" applyFill="1" applyBorder="1" applyAlignment="1">
      <alignment horizontal="center"/>
    </xf>
    <xf numFmtId="0" fontId="21" fillId="0" borderId="19" xfId="24" applyFont="1" applyBorder="1" applyAlignment="1">
      <alignment horizontal="left" vertical="top" wrapText="1"/>
    </xf>
    <xf numFmtId="0" fontId="94" fillId="0" borderId="40" xfId="24" applyFont="1" applyBorder="1" applyAlignment="1">
      <alignment vertical="top" wrapText="1"/>
    </xf>
    <xf numFmtId="0" fontId="95" fillId="0" borderId="40" xfId="24" applyFont="1" applyBorder="1" applyAlignment="1">
      <alignment vertical="top" wrapText="1"/>
    </xf>
    <xf numFmtId="0" fontId="95" fillId="0" borderId="19" xfId="24" applyFont="1" applyBorder="1" applyAlignment="1">
      <alignment horizontal="center" vertical="top" wrapText="1"/>
    </xf>
    <xf numFmtId="4" fontId="95" fillId="0" borderId="40" xfId="24" applyNumberFormat="1" applyFont="1" applyBorder="1" applyAlignment="1">
      <alignment horizontal="center" vertical="top" wrapText="1"/>
    </xf>
    <xf numFmtId="0" fontId="95" fillId="0" borderId="19" xfId="24" applyFont="1" applyBorder="1" applyAlignment="1">
      <alignment horizontal="left" vertical="top" wrapText="1"/>
    </xf>
    <xf numFmtId="0" fontId="95" fillId="0" borderId="40" xfId="24" applyFont="1" applyBorder="1" applyAlignment="1">
      <alignment horizontal="center" vertical="top" wrapText="1"/>
    </xf>
    <xf numFmtId="0" fontId="1" fillId="0" borderId="19" xfId="24" applyFont="1" applyBorder="1" applyAlignment="1">
      <alignment horizontal="center" wrapText="1"/>
    </xf>
    <xf numFmtId="0" fontId="1" fillId="0" borderId="40" xfId="24" applyFont="1" applyBorder="1" applyAlignment="1">
      <alignment vertical="top" wrapText="1"/>
    </xf>
    <xf numFmtId="178" fontId="96" fillId="0" borderId="40" xfId="27" applyNumberFormat="1" applyFont="1" applyBorder="1" applyAlignment="1">
      <alignment vertical="center"/>
    </xf>
    <xf numFmtId="0" fontId="95" fillId="0" borderId="19" xfId="24" applyFont="1" applyBorder="1" applyAlignment="1">
      <alignment horizontal="center" wrapText="1"/>
    </xf>
    <xf numFmtId="0" fontId="1" fillId="0" borderId="40" xfId="24" applyFont="1" applyBorder="1" applyAlignment="1">
      <alignment horizontal="center" vertical="top" wrapText="1"/>
    </xf>
    <xf numFmtId="0" fontId="92" fillId="0" borderId="19" xfId="1" applyFont="1" applyBorder="1"/>
    <xf numFmtId="0" fontId="92" fillId="0" borderId="50" xfId="1" applyFont="1" applyBorder="1" applyAlignment="1">
      <alignment horizontal="left" vertical="center"/>
    </xf>
    <xf numFmtId="178" fontId="96" fillId="0" borderId="19" xfId="27" applyNumberFormat="1" applyFont="1" applyBorder="1" applyAlignment="1">
      <alignment horizontal="center" vertical="center"/>
    </xf>
    <xf numFmtId="178" fontId="96" fillId="0" borderId="38" xfId="27" applyNumberFormat="1" applyFont="1" applyBorder="1" applyAlignment="1">
      <alignment vertical="center"/>
    </xf>
    <xf numFmtId="178" fontId="96" fillId="0" borderId="19" xfId="27" applyNumberFormat="1" applyFont="1" applyBorder="1" applyAlignment="1">
      <alignment vertical="center"/>
    </xf>
    <xf numFmtId="0" fontId="92" fillId="0" borderId="50" xfId="1" applyFont="1" applyBorder="1" applyAlignment="1">
      <alignment horizontal="center" vertical="center"/>
    </xf>
    <xf numFmtId="0" fontId="92" fillId="0" borderId="19" xfId="1" applyFont="1" applyBorder="1" applyAlignment="1">
      <alignment horizontal="center"/>
    </xf>
    <xf numFmtId="0" fontId="92" fillId="0" borderId="38" xfId="1" applyFont="1" applyBorder="1" applyAlignment="1">
      <alignment horizontal="center"/>
    </xf>
    <xf numFmtId="0" fontId="92" fillId="0" borderId="50" xfId="1" applyFont="1" applyBorder="1" applyAlignment="1">
      <alignment horizontal="right" vertical="center"/>
    </xf>
    <xf numFmtId="0" fontId="1" fillId="0" borderId="38" xfId="1" applyFont="1" applyFill="1" applyBorder="1" applyAlignment="1">
      <alignment horizontal="center"/>
    </xf>
    <xf numFmtId="0" fontId="96" fillId="0" borderId="0" xfId="27" applyFont="1" applyAlignment="1">
      <alignment vertical="center"/>
    </xf>
    <xf numFmtId="169" fontId="92" fillId="0" borderId="38" xfId="1" applyNumberFormat="1" applyFont="1" applyBorder="1" applyAlignment="1">
      <alignment horizontal="center"/>
    </xf>
    <xf numFmtId="0" fontId="92" fillId="0" borderId="0" xfId="1" applyFont="1" applyAlignment="1">
      <alignment horizontal="center"/>
    </xf>
    <xf numFmtId="0" fontId="92" fillId="0" borderId="2" xfId="1" applyFont="1" applyBorder="1" applyAlignment="1">
      <alignment horizontal="left" vertical="center"/>
    </xf>
    <xf numFmtId="0" fontId="92" fillId="0" borderId="2" xfId="1" applyFont="1" applyBorder="1" applyAlignment="1">
      <alignment horizontal="center" vertical="center"/>
    </xf>
    <xf numFmtId="2" fontId="92" fillId="0" borderId="19" xfId="1" applyNumberFormat="1" applyFont="1" applyBorder="1" applyAlignment="1">
      <alignment horizontal="center"/>
    </xf>
    <xf numFmtId="0" fontId="96" fillId="0" borderId="2" xfId="27" applyFont="1" applyBorder="1" applyAlignment="1">
      <alignment horizontal="right" vertical="center"/>
    </xf>
    <xf numFmtId="0" fontId="96" fillId="0" borderId="0" xfId="27" applyFont="1" applyAlignment="1">
      <alignment horizontal="center" vertical="center"/>
    </xf>
    <xf numFmtId="0" fontId="96" fillId="0" borderId="19" xfId="27" applyFont="1" applyBorder="1" applyAlignment="1">
      <alignment horizontal="center" vertical="center"/>
    </xf>
    <xf numFmtId="0" fontId="92" fillId="0" borderId="19" xfId="1" applyFont="1" applyBorder="1" applyAlignment="1">
      <alignment horizontal="center" vertical="center"/>
    </xf>
    <xf numFmtId="0" fontId="92" fillId="0" borderId="38" xfId="1" applyFont="1" applyBorder="1"/>
    <xf numFmtId="1" fontId="21" fillId="0" borderId="55" xfId="24" applyNumberFormat="1" applyFont="1" applyBorder="1" applyAlignment="1">
      <alignment horizontal="center" vertical="center"/>
    </xf>
    <xf numFmtId="165" fontId="21" fillId="0" borderId="56" xfId="24" applyNumberFormat="1" applyFont="1" applyBorder="1" applyAlignment="1">
      <alignment horizontal="center" vertical="center"/>
    </xf>
    <xf numFmtId="0" fontId="21" fillId="0" borderId="0" xfId="1" applyFont="1" applyAlignment="1">
      <alignment horizontal="left"/>
    </xf>
    <xf numFmtId="0" fontId="21" fillId="0" borderId="0" xfId="1" applyFont="1" applyAlignment="1">
      <alignment horizontal="right"/>
    </xf>
    <xf numFmtId="0" fontId="21" fillId="0" borderId="0" xfId="1" applyFont="1"/>
    <xf numFmtId="2" fontId="21" fillId="0" borderId="0" xfId="25" applyNumberFormat="1" applyFont="1" applyFill="1" applyAlignment="1">
      <alignment horizontal="center"/>
    </xf>
    <xf numFmtId="168" fontId="1" fillId="0" borderId="0" xfId="1" applyNumberFormat="1" applyFont="1" applyAlignment="1">
      <alignment horizontal="center"/>
    </xf>
    <xf numFmtId="0" fontId="21" fillId="0" borderId="0" xfId="1" applyFont="1" applyAlignment="1">
      <alignment vertical="top"/>
    </xf>
    <xf numFmtId="0" fontId="21" fillId="0" borderId="0" xfId="1" applyFont="1" applyAlignment="1">
      <alignment horizontal="center" vertical="top" wrapText="1"/>
    </xf>
    <xf numFmtId="0" fontId="21" fillId="0" borderId="0" xfId="1" applyFont="1" applyAlignment="1">
      <alignment horizontal="right" vertical="top" wrapText="1"/>
    </xf>
    <xf numFmtId="0" fontId="1" fillId="0" borderId="0" xfId="1" applyFont="1" applyAlignment="1">
      <alignment horizontal="right" vertical="top" wrapText="1"/>
    </xf>
    <xf numFmtId="168" fontId="1" fillId="0" borderId="0" xfId="1" applyNumberFormat="1" applyFont="1" applyAlignment="1">
      <alignment horizontal="right" vertical="top" wrapText="1"/>
    </xf>
    <xf numFmtId="1" fontId="21" fillId="0" borderId="0" xfId="1" applyNumberFormat="1" applyFont="1"/>
    <xf numFmtId="2" fontId="21" fillId="0" borderId="0" xfId="1" applyNumberFormat="1" applyFont="1" applyAlignment="1">
      <alignment horizontal="center"/>
    </xf>
    <xf numFmtId="0" fontId="21" fillId="5" borderId="17" xfId="1" applyFont="1" applyFill="1" applyBorder="1" applyAlignment="1">
      <alignment horizontal="center" vertical="center"/>
    </xf>
    <xf numFmtId="2" fontId="21" fillId="5" borderId="55" xfId="1" applyNumberFormat="1" applyFont="1" applyFill="1" applyBorder="1" applyAlignment="1">
      <alignment horizontal="center" vertical="center"/>
    </xf>
    <xf numFmtId="0" fontId="1" fillId="0" borderId="0" xfId="1" applyFont="1" applyAlignment="1">
      <alignment vertical="center"/>
    </xf>
    <xf numFmtId="0" fontId="1" fillId="0" borderId="19" xfId="1" applyFont="1" applyBorder="1" applyAlignment="1">
      <alignment horizontal="center"/>
    </xf>
    <xf numFmtId="165" fontId="1" fillId="0" borderId="19" xfId="1" applyNumberFormat="1" applyFont="1" applyBorder="1" applyAlignment="1">
      <alignment horizontal="center"/>
    </xf>
    <xf numFmtId="165" fontId="1" fillId="0" borderId="40" xfId="25" applyNumberFormat="1" applyFont="1" applyFill="1" applyBorder="1" applyAlignment="1">
      <alignment horizontal="center"/>
    </xf>
    <xf numFmtId="0" fontId="19" fillId="0" borderId="19" xfId="25" applyFont="1" applyFill="1" applyBorder="1" applyAlignment="1">
      <alignment horizontal="center"/>
    </xf>
    <xf numFmtId="1" fontId="19" fillId="0" borderId="19" xfId="1" applyNumberFormat="1" applyFont="1" applyBorder="1" applyAlignment="1">
      <alignment horizontal="left" wrapText="1"/>
    </xf>
    <xf numFmtId="0" fontId="19" fillId="0" borderId="19" xfId="1" applyFont="1" applyBorder="1" applyAlignment="1">
      <alignment horizontal="center" vertical="top" wrapText="1"/>
    </xf>
    <xf numFmtId="165" fontId="19" fillId="0" borderId="19" xfId="1" applyNumberFormat="1" applyFont="1" applyBorder="1" applyAlignment="1">
      <alignment horizontal="right" vertical="top" wrapText="1"/>
    </xf>
    <xf numFmtId="176" fontId="19" fillId="0" borderId="19" xfId="25" applyNumberFormat="1" applyFont="1" applyFill="1" applyBorder="1" applyAlignment="1" applyProtection="1">
      <alignment horizontal="center" vertical="top"/>
      <protection locked="0"/>
    </xf>
    <xf numFmtId="0" fontId="19" fillId="0" borderId="19" xfId="1" applyFont="1" applyBorder="1" applyAlignment="1">
      <alignment horizontal="center" vertical="top"/>
    </xf>
    <xf numFmtId="1" fontId="19" fillId="0" borderId="19" xfId="1" applyNumberFormat="1" applyFont="1" applyBorder="1" applyAlignment="1">
      <alignment horizontal="left" vertical="top" wrapText="1"/>
    </xf>
    <xf numFmtId="1" fontId="19" fillId="0" borderId="19" xfId="1" applyNumberFormat="1" applyFont="1" applyBorder="1" applyAlignment="1">
      <alignment horizontal="center" vertical="top"/>
    </xf>
    <xf numFmtId="0" fontId="20" fillId="0" borderId="19" xfId="1" applyFont="1" applyBorder="1" applyAlignment="1">
      <alignment horizontal="right" vertical="top" wrapText="1"/>
    </xf>
    <xf numFmtId="1" fontId="19" fillId="0" borderId="19" xfId="1" applyNumberFormat="1" applyFont="1" applyBorder="1" applyAlignment="1">
      <alignment wrapText="1"/>
    </xf>
    <xf numFmtId="1" fontId="19" fillId="0" borderId="19" xfId="1" applyNumberFormat="1" applyFont="1" applyBorder="1" applyAlignment="1">
      <alignment horizontal="center"/>
    </xf>
    <xf numFmtId="165" fontId="19" fillId="0" borderId="19" xfId="1" applyNumberFormat="1" applyFont="1" applyBorder="1" applyAlignment="1">
      <alignment horizontal="center"/>
    </xf>
    <xf numFmtId="0" fontId="19" fillId="0" borderId="38" xfId="1" applyFont="1" applyBorder="1" applyAlignment="1">
      <alignment horizontal="center" vertical="top"/>
    </xf>
    <xf numFmtId="0" fontId="20" fillId="0" borderId="40" xfId="1" applyFont="1" applyBorder="1" applyAlignment="1">
      <alignment horizontal="right" vertical="top" wrapText="1"/>
    </xf>
    <xf numFmtId="165" fontId="19" fillId="0" borderId="40" xfId="1" applyNumberFormat="1" applyFont="1" applyBorder="1" applyAlignment="1">
      <alignment horizontal="right" vertical="top" wrapText="1"/>
    </xf>
    <xf numFmtId="0" fontId="20" fillId="0" borderId="40" xfId="1" applyFont="1" applyBorder="1" applyAlignment="1">
      <alignment horizontal="center" vertical="top" wrapText="1"/>
    </xf>
    <xf numFmtId="165" fontId="19" fillId="0" borderId="40" xfId="1" applyNumberFormat="1" applyFont="1" applyBorder="1" applyAlignment="1">
      <alignment vertical="top" wrapText="1"/>
    </xf>
    <xf numFmtId="0" fontId="19" fillId="0" borderId="40" xfId="1" applyFont="1" applyBorder="1" applyAlignment="1">
      <alignment horizontal="center" vertical="center" wrapText="1"/>
    </xf>
    <xf numFmtId="165" fontId="19" fillId="0" borderId="40" xfId="1" applyNumberFormat="1" applyFont="1" applyBorder="1" applyAlignment="1">
      <alignment horizontal="right" vertical="center" wrapText="1"/>
    </xf>
    <xf numFmtId="176" fontId="19" fillId="0" borderId="19" xfId="25" applyNumberFormat="1" applyFont="1" applyFill="1" applyBorder="1" applyAlignment="1" applyProtection="1">
      <alignment horizontal="center" vertical="center"/>
      <protection locked="0"/>
    </xf>
    <xf numFmtId="0" fontId="19" fillId="0" borderId="40" xfId="1" applyFont="1" applyBorder="1" applyAlignment="1">
      <alignment horizontal="center" vertical="top" wrapText="1"/>
    </xf>
    <xf numFmtId="0" fontId="1" fillId="0" borderId="38" xfId="25" applyFont="1" applyFill="1" applyBorder="1" applyAlignment="1">
      <alignment horizontal="center" vertical="top"/>
    </xf>
    <xf numFmtId="1" fontId="1" fillId="0" borderId="19" xfId="1" applyNumberFormat="1" applyFont="1" applyBorder="1" applyAlignment="1">
      <alignment horizontal="left" vertical="top" wrapText="1"/>
    </xf>
    <xf numFmtId="1" fontId="1" fillId="0" borderId="19" xfId="1" applyNumberFormat="1" applyFont="1" applyBorder="1" applyAlignment="1">
      <alignment horizontal="center" vertical="top"/>
    </xf>
    <xf numFmtId="0" fontId="21" fillId="0" borderId="40" xfId="1" applyFont="1" applyBorder="1" applyAlignment="1">
      <alignment horizontal="center" vertical="top" wrapText="1"/>
    </xf>
    <xf numFmtId="165" fontId="1" fillId="0" borderId="40" xfId="1" applyNumberFormat="1" applyFont="1" applyBorder="1" applyAlignment="1">
      <alignment vertical="top" wrapText="1"/>
    </xf>
    <xf numFmtId="0" fontId="21" fillId="0" borderId="19" xfId="1" applyFont="1" applyBorder="1" applyAlignment="1">
      <alignment horizontal="center" vertical="top" wrapText="1"/>
    </xf>
    <xf numFmtId="0" fontId="1" fillId="0" borderId="40" xfId="1" applyFont="1" applyBorder="1" applyAlignment="1">
      <alignment vertical="top" wrapText="1"/>
    </xf>
    <xf numFmtId="0" fontId="1" fillId="0" borderId="40" xfId="1" applyFont="1" applyBorder="1" applyAlignment="1">
      <alignment horizontal="center" vertical="top" wrapText="1"/>
    </xf>
    <xf numFmtId="165" fontId="1" fillId="0" borderId="40" xfId="1" applyNumberFormat="1" applyFont="1" applyBorder="1" applyAlignment="1">
      <alignment horizontal="right" vertical="top" wrapText="1"/>
    </xf>
    <xf numFmtId="0" fontId="1" fillId="0" borderId="0" xfId="1" applyFont="1" applyAlignment="1">
      <alignment vertical="top" wrapText="1"/>
    </xf>
    <xf numFmtId="0" fontId="1" fillId="0" borderId="19" xfId="1" applyFont="1" applyBorder="1" applyAlignment="1">
      <alignment horizontal="center" vertical="top" wrapText="1"/>
    </xf>
    <xf numFmtId="0" fontId="1" fillId="0" borderId="19" xfId="1" applyFont="1" applyBorder="1" applyAlignment="1" applyProtection="1">
      <alignment horizontal="center"/>
      <protection locked="0"/>
    </xf>
    <xf numFmtId="0" fontId="1" fillId="0" borderId="38" xfId="1" applyFont="1" applyBorder="1" applyAlignment="1" applyProtection="1">
      <alignment wrapText="1"/>
      <protection locked="0"/>
    </xf>
    <xf numFmtId="0" fontId="1" fillId="0" borderId="19" xfId="1" applyFont="1" applyBorder="1" applyAlignment="1">
      <alignment wrapText="1"/>
    </xf>
    <xf numFmtId="0" fontId="1" fillId="0" borderId="40" xfId="1" applyFont="1" applyBorder="1" applyAlignment="1">
      <alignment horizontal="center" wrapText="1"/>
    </xf>
    <xf numFmtId="165" fontId="1" fillId="0" borderId="19" xfId="1" applyNumberFormat="1" applyFont="1" applyBorder="1" applyAlignment="1" applyProtection="1">
      <alignment horizontal="center"/>
      <protection locked="0"/>
    </xf>
    <xf numFmtId="165" fontId="1" fillId="0" borderId="19" xfId="26" applyNumberFormat="1" applyFont="1" applyBorder="1" applyAlignment="1">
      <alignment horizontal="right"/>
    </xf>
    <xf numFmtId="0" fontId="1" fillId="0" borderId="38" xfId="1" applyFont="1" applyBorder="1" applyAlignment="1">
      <alignment wrapText="1"/>
    </xf>
    <xf numFmtId="0" fontId="21" fillId="0" borderId="19" xfId="1" applyFont="1" applyBorder="1" applyAlignment="1" applyProtection="1">
      <alignment horizontal="center"/>
      <protection locked="0"/>
    </xf>
    <xf numFmtId="165" fontId="1" fillId="0" borderId="40" xfId="26" applyNumberFormat="1" applyFont="1" applyBorder="1" applyAlignment="1">
      <alignment horizontal="right"/>
    </xf>
    <xf numFmtId="0" fontId="1" fillId="0" borderId="38" xfId="1" applyFont="1" applyBorder="1" applyProtection="1">
      <protection locked="0"/>
    </xf>
    <xf numFmtId="4" fontId="1" fillId="0" borderId="19" xfId="1" applyNumberFormat="1" applyFont="1" applyBorder="1" applyAlignment="1" applyProtection="1">
      <alignment horizontal="center"/>
      <protection locked="0"/>
    </xf>
    <xf numFmtId="0" fontId="1" fillId="0" borderId="19" xfId="26" applyNumberFormat="1" applyFont="1" applyBorder="1" applyAlignment="1">
      <alignment horizontal="center"/>
    </xf>
    <xf numFmtId="165" fontId="1" fillId="0" borderId="19" xfId="1" applyNumberFormat="1" applyFont="1" applyBorder="1" applyProtection="1">
      <protection locked="0"/>
    </xf>
    <xf numFmtId="165" fontId="1" fillId="0" borderId="19" xfId="26" applyNumberFormat="1" applyFont="1" applyBorder="1" applyAlignment="1">
      <alignment horizontal="center"/>
    </xf>
    <xf numFmtId="0" fontId="21" fillId="0" borderId="40" xfId="1" applyFont="1" applyBorder="1" applyAlignment="1">
      <alignment vertical="top" wrapText="1"/>
    </xf>
    <xf numFmtId="0" fontId="21" fillId="0" borderId="17" xfId="1" applyFont="1" applyBorder="1" applyAlignment="1">
      <alignment horizontal="center" vertical="center"/>
    </xf>
    <xf numFmtId="0" fontId="21" fillId="0" borderId="17" xfId="1" applyFont="1" applyBorder="1" applyAlignment="1">
      <alignment horizontal="right" vertical="center" wrapText="1"/>
    </xf>
    <xf numFmtId="165" fontId="1" fillId="0" borderId="17" xfId="1" applyNumberFormat="1" applyFont="1" applyBorder="1" applyAlignment="1">
      <alignment horizontal="right" vertical="center" wrapText="1"/>
    </xf>
    <xf numFmtId="165" fontId="21" fillId="0" borderId="17" xfId="1" applyNumberFormat="1" applyFont="1" applyBorder="1" applyAlignment="1">
      <alignment horizontal="right" vertical="center" wrapText="1"/>
    </xf>
    <xf numFmtId="168" fontId="1" fillId="0" borderId="0" xfId="1" applyNumberFormat="1" applyFont="1"/>
    <xf numFmtId="0" fontId="20" fillId="0" borderId="0" xfId="1" applyFont="1" applyAlignment="1">
      <alignment horizontal="left" vertical="center"/>
    </xf>
    <xf numFmtId="0" fontId="20" fillId="0" borderId="0" xfId="1" applyFont="1" applyAlignment="1">
      <alignment horizontal="center" vertical="center"/>
    </xf>
    <xf numFmtId="0" fontId="20" fillId="0" borderId="0" xfId="1" applyFont="1" applyAlignment="1">
      <alignment horizontal="right" vertical="center"/>
    </xf>
    <xf numFmtId="0" fontId="19" fillId="0" borderId="0" xfId="1" applyFont="1" applyAlignment="1">
      <alignment vertical="center"/>
    </xf>
    <xf numFmtId="0" fontId="20" fillId="0" borderId="0" xfId="1" applyFont="1" applyAlignment="1">
      <alignment vertical="center"/>
    </xf>
    <xf numFmtId="2" fontId="4" fillId="0" borderId="0" xfId="25" applyNumberFormat="1" applyFont="1" applyFill="1" applyAlignment="1">
      <alignment horizontal="center" vertical="center"/>
    </xf>
    <xf numFmtId="168" fontId="3" fillId="0" borderId="0" xfId="1" applyNumberFormat="1" applyFont="1" applyAlignment="1">
      <alignment horizontal="center" vertical="center"/>
    </xf>
    <xf numFmtId="0" fontId="20" fillId="0" borderId="0" xfId="1" applyFont="1" applyAlignment="1">
      <alignment horizontal="center" vertical="center" wrapText="1"/>
    </xf>
    <xf numFmtId="0" fontId="20" fillId="0" borderId="0" xfId="1" applyFont="1" applyAlignment="1">
      <alignment horizontal="right" vertical="center" wrapText="1"/>
    </xf>
    <xf numFmtId="168" fontId="19" fillId="0" borderId="0" xfId="1" applyNumberFormat="1" applyFont="1" applyAlignment="1">
      <alignment horizontal="right" vertical="center" wrapText="1"/>
    </xf>
    <xf numFmtId="1" fontId="20" fillId="0" borderId="0" xfId="1" applyNumberFormat="1" applyFont="1"/>
    <xf numFmtId="0" fontId="20" fillId="0" borderId="0" xfId="1" applyFont="1"/>
    <xf numFmtId="2" fontId="20" fillId="0" borderId="0" xfId="1" applyNumberFormat="1" applyFont="1" applyAlignment="1">
      <alignment horizontal="center"/>
    </xf>
    <xf numFmtId="0" fontId="19" fillId="0" borderId="0" xfId="1" applyFont="1"/>
    <xf numFmtId="0" fontId="20" fillId="5" borderId="17" xfId="1" applyFont="1" applyFill="1" applyBorder="1" applyAlignment="1">
      <alignment horizontal="center" vertical="center"/>
    </xf>
    <xf numFmtId="2" fontId="20" fillId="5" borderId="55" xfId="1" applyNumberFormat="1" applyFont="1" applyFill="1" applyBorder="1" applyAlignment="1">
      <alignment horizontal="center" vertical="center"/>
    </xf>
    <xf numFmtId="165" fontId="19" fillId="0" borderId="40" xfId="25" applyNumberFormat="1" applyFont="1" applyFill="1" applyBorder="1" applyAlignment="1">
      <alignment horizontal="center"/>
    </xf>
    <xf numFmtId="0" fontId="19" fillId="0" borderId="40" xfId="1" applyFont="1" applyBorder="1" applyAlignment="1">
      <alignment vertical="top" wrapText="1"/>
    </xf>
    <xf numFmtId="0" fontId="20" fillId="0" borderId="40" xfId="1" applyFont="1" applyBorder="1" applyAlignment="1">
      <alignment vertical="top" wrapText="1"/>
    </xf>
    <xf numFmtId="165" fontId="19" fillId="0" borderId="40" xfId="1" applyNumberFormat="1" applyFont="1" applyBorder="1" applyAlignment="1">
      <alignment horizontal="center" vertical="top" wrapText="1"/>
    </xf>
    <xf numFmtId="0" fontId="20" fillId="0" borderId="19" xfId="1" applyFont="1" applyBorder="1" applyAlignment="1">
      <alignment horizontal="center" vertical="top" wrapText="1"/>
    </xf>
    <xf numFmtId="179" fontId="20" fillId="0" borderId="40" xfId="1" applyNumberFormat="1" applyFont="1" applyBorder="1" applyAlignment="1">
      <alignment horizontal="center" vertical="top" wrapText="1"/>
    </xf>
    <xf numFmtId="169" fontId="19" fillId="0" borderId="40" xfId="1" applyNumberFormat="1" applyFont="1" applyBorder="1" applyAlignment="1">
      <alignment horizontal="center" vertical="top" wrapText="1"/>
    </xf>
    <xf numFmtId="179" fontId="19" fillId="0" borderId="40" xfId="1" applyNumberFormat="1" applyFont="1" applyBorder="1" applyAlignment="1">
      <alignment horizontal="center" vertical="top" wrapText="1"/>
    </xf>
    <xf numFmtId="176" fontId="19" fillId="0" borderId="40" xfId="25" applyNumberFormat="1" applyFont="1" applyFill="1" applyBorder="1" applyAlignment="1" applyProtection="1">
      <alignment horizontal="center"/>
      <protection locked="0"/>
    </xf>
    <xf numFmtId="0" fontId="19" fillId="0" borderId="0" xfId="1" applyFont="1" applyAlignment="1">
      <alignment vertical="top" wrapText="1"/>
    </xf>
    <xf numFmtId="0" fontId="19" fillId="0" borderId="19" xfId="1" applyFont="1" applyBorder="1" applyAlignment="1" applyProtection="1">
      <alignment horizontal="center"/>
      <protection locked="0"/>
    </xf>
    <xf numFmtId="0" fontId="19" fillId="0" borderId="38" xfId="1" applyFont="1" applyBorder="1" applyAlignment="1" applyProtection="1">
      <alignment wrapText="1"/>
      <protection locked="0"/>
    </xf>
    <xf numFmtId="0" fontId="19" fillId="0" borderId="19" xfId="1" applyFont="1" applyBorder="1" applyAlignment="1">
      <alignment wrapText="1"/>
    </xf>
    <xf numFmtId="179" fontId="19" fillId="0" borderId="40" xfId="1" applyNumberFormat="1" applyFont="1" applyBorder="1" applyAlignment="1">
      <alignment horizontal="center" wrapText="1"/>
    </xf>
    <xf numFmtId="169" fontId="19" fillId="0" borderId="19" xfId="1" applyNumberFormat="1" applyFont="1" applyBorder="1" applyAlignment="1" applyProtection="1">
      <alignment horizontal="center"/>
      <protection locked="0"/>
    </xf>
    <xf numFmtId="165" fontId="19" fillId="0" borderId="19" xfId="26" applyNumberFormat="1" applyFont="1" applyBorder="1" applyAlignment="1">
      <alignment horizontal="right"/>
    </xf>
    <xf numFmtId="0" fontId="19" fillId="0" borderId="38" xfId="1" applyFont="1" applyBorder="1" applyAlignment="1">
      <alignment wrapText="1"/>
    </xf>
    <xf numFmtId="0" fontId="20" fillId="0" borderId="19" xfId="1" applyFont="1" applyBorder="1" applyAlignment="1" applyProtection="1">
      <alignment horizontal="center"/>
      <protection locked="0"/>
    </xf>
    <xf numFmtId="165" fontId="19" fillId="0" borderId="40" xfId="26" applyNumberFormat="1" applyFont="1" applyBorder="1" applyAlignment="1">
      <alignment horizontal="right"/>
    </xf>
    <xf numFmtId="0" fontId="19" fillId="0" borderId="38" xfId="1" applyFont="1" applyBorder="1" applyProtection="1">
      <protection locked="0"/>
    </xf>
    <xf numFmtId="4" fontId="19" fillId="0" borderId="19" xfId="1" applyNumberFormat="1" applyFont="1" applyBorder="1" applyAlignment="1" applyProtection="1">
      <alignment horizontal="center"/>
      <protection locked="0"/>
    </xf>
    <xf numFmtId="179" fontId="19" fillId="0" borderId="19" xfId="26" applyNumberFormat="1" applyFont="1" applyBorder="1" applyAlignment="1">
      <alignment horizontal="center"/>
    </xf>
    <xf numFmtId="49" fontId="19" fillId="0" borderId="19" xfId="1" applyNumberFormat="1" applyFont="1" applyBorder="1" applyAlignment="1">
      <alignment horizontal="center" vertical="top" wrapText="1"/>
    </xf>
    <xf numFmtId="0" fontId="1" fillId="0" borderId="19" xfId="1" applyFont="1" applyBorder="1" applyAlignment="1">
      <alignment horizontal="left" vertical="top" wrapText="1"/>
    </xf>
    <xf numFmtId="4" fontId="19" fillId="0" borderId="40" xfId="1" applyNumberFormat="1" applyFont="1" applyBorder="1" applyAlignment="1">
      <alignment horizontal="center" vertical="top" wrapText="1"/>
    </xf>
    <xf numFmtId="0" fontId="1" fillId="0" borderId="38" xfId="1" applyFont="1" applyBorder="1" applyAlignment="1">
      <alignment horizontal="center" vertical="top" wrapText="1"/>
    </xf>
    <xf numFmtId="2" fontId="19" fillId="0" borderId="40" xfId="1" applyNumberFormat="1" applyFont="1" applyBorder="1" applyAlignment="1">
      <alignment horizontal="center" vertical="top" wrapText="1"/>
    </xf>
    <xf numFmtId="176" fontId="19" fillId="0" borderId="40" xfId="25" applyNumberFormat="1" applyFont="1" applyFill="1" applyBorder="1" applyAlignment="1" applyProtection="1">
      <alignment horizontal="center" vertical="top"/>
      <protection locked="0"/>
    </xf>
    <xf numFmtId="179" fontId="20" fillId="0" borderId="40" xfId="1" applyNumberFormat="1" applyFont="1" applyBorder="1" applyAlignment="1">
      <alignment vertical="top" wrapText="1"/>
    </xf>
    <xf numFmtId="0" fontId="20" fillId="0" borderId="17" xfId="1" applyFont="1" applyBorder="1" applyAlignment="1">
      <alignment horizontal="center" vertical="center"/>
    </xf>
    <xf numFmtId="0" fontId="20" fillId="0" borderId="17" xfId="1" applyFont="1" applyBorder="1" applyAlignment="1">
      <alignment horizontal="right" vertical="center" wrapText="1"/>
    </xf>
    <xf numFmtId="165" fontId="19" fillId="0" borderId="17" xfId="1" applyNumberFormat="1" applyFont="1" applyBorder="1" applyAlignment="1">
      <alignment horizontal="center" vertical="center" wrapText="1"/>
    </xf>
    <xf numFmtId="165" fontId="20" fillId="0" borderId="17" xfId="1" applyNumberFormat="1" applyFont="1" applyBorder="1" applyAlignment="1">
      <alignment horizontal="right" vertical="center" wrapText="1"/>
    </xf>
    <xf numFmtId="44" fontId="20" fillId="0" borderId="0" xfId="1" applyNumberFormat="1" applyFont="1"/>
    <xf numFmtId="44" fontId="19" fillId="0" borderId="0" xfId="1" applyNumberFormat="1" applyFont="1"/>
    <xf numFmtId="0" fontId="20" fillId="0" borderId="0" xfId="1" applyFont="1" applyAlignment="1">
      <alignment horizontal="center"/>
    </xf>
    <xf numFmtId="168" fontId="19" fillId="0" borderId="0" xfId="1" applyNumberFormat="1" applyFont="1"/>
    <xf numFmtId="0" fontId="1" fillId="0" borderId="0" xfId="1" applyFont="1" applyAlignment="1">
      <alignment horizontal="center" vertical="top" wrapText="1"/>
    </xf>
    <xf numFmtId="0" fontId="1" fillId="0" borderId="0" xfId="1" applyFont="1" applyAlignment="1">
      <alignment horizontal="left" vertical="top" wrapText="1"/>
    </xf>
    <xf numFmtId="2" fontId="4" fillId="0" borderId="0" xfId="25" applyNumberFormat="1" applyFont="1" applyFill="1" applyAlignment="1">
      <alignment horizontal="center"/>
    </xf>
    <xf numFmtId="0" fontId="4" fillId="0" borderId="0" xfId="24" applyFont="1" applyAlignment="1">
      <alignment horizontal="center"/>
    </xf>
    <xf numFmtId="0" fontId="20" fillId="0" borderId="0" xfId="24" applyFont="1" applyAlignment="1">
      <alignment vertical="top"/>
    </xf>
    <xf numFmtId="0" fontId="21" fillId="0" borderId="0" xfId="24" applyFont="1" applyAlignment="1">
      <alignment vertical="top"/>
    </xf>
    <xf numFmtId="168" fontId="3" fillId="0" borderId="0" xfId="24" applyNumberFormat="1" applyFont="1" applyAlignment="1">
      <alignment horizontal="center"/>
    </xf>
    <xf numFmtId="0" fontId="20" fillId="0" borderId="19" xfId="24" applyFont="1" applyBorder="1" applyAlignment="1">
      <alignment horizontal="center" vertical="top" wrapText="1"/>
    </xf>
    <xf numFmtId="0" fontId="20" fillId="0" borderId="40" xfId="24" applyFont="1" applyBorder="1" applyAlignment="1">
      <alignment vertical="top" wrapText="1"/>
    </xf>
    <xf numFmtId="0" fontId="20" fillId="0" borderId="40" xfId="24" applyFont="1" applyBorder="1" applyAlignment="1">
      <alignment horizontal="center" vertical="top" wrapText="1"/>
    </xf>
    <xf numFmtId="165" fontId="19" fillId="0" borderId="40" xfId="24" applyNumberFormat="1" applyFont="1" applyBorder="1" applyAlignment="1">
      <alignment vertical="top" wrapText="1"/>
    </xf>
    <xf numFmtId="165" fontId="19" fillId="0" borderId="23" xfId="24" applyNumberFormat="1" applyFont="1" applyBorder="1" applyAlignment="1">
      <alignment vertical="top" wrapText="1"/>
    </xf>
    <xf numFmtId="0" fontId="19" fillId="0" borderId="19" xfId="24" applyFont="1" applyBorder="1" applyAlignment="1">
      <alignment horizontal="center" vertical="top" wrapText="1"/>
    </xf>
    <xf numFmtId="0" fontId="19" fillId="0" borderId="40" xfId="24" applyFont="1" applyBorder="1" applyAlignment="1">
      <alignment vertical="top" wrapText="1"/>
    </xf>
    <xf numFmtId="3" fontId="20" fillId="0" borderId="19" xfId="24" applyNumberFormat="1" applyFont="1" applyBorder="1" applyAlignment="1">
      <alignment horizontal="center" vertical="top" wrapText="1"/>
    </xf>
    <xf numFmtId="165" fontId="19" fillId="0" borderId="19" xfId="24" applyNumberFormat="1" applyFont="1" applyBorder="1" applyAlignment="1">
      <alignment vertical="top" wrapText="1"/>
    </xf>
    <xf numFmtId="3" fontId="20" fillId="0" borderId="38" xfId="24" applyNumberFormat="1" applyFont="1" applyFill="1" applyBorder="1" applyAlignment="1">
      <alignment horizontal="center" vertical="top" wrapText="1"/>
    </xf>
    <xf numFmtId="3" fontId="20" fillId="0" borderId="19" xfId="24" applyNumberFormat="1" applyFont="1" applyFill="1" applyBorder="1" applyAlignment="1">
      <alignment horizontal="center" vertical="top" wrapText="1"/>
    </xf>
    <xf numFmtId="0" fontId="19" fillId="0" borderId="40" xfId="24" applyFont="1" applyBorder="1" applyAlignment="1">
      <alignment horizontal="center" vertical="top" wrapText="1"/>
    </xf>
    <xf numFmtId="4" fontId="19" fillId="0" borderId="19" xfId="29" applyFont="1" applyFill="1" applyBorder="1"/>
    <xf numFmtId="4" fontId="19" fillId="0" borderId="19" xfId="29" applyFont="1" applyBorder="1"/>
    <xf numFmtId="4" fontId="19" fillId="0" borderId="38" xfId="29" applyFont="1" applyFill="1" applyBorder="1"/>
    <xf numFmtId="4" fontId="1" fillId="0" borderId="0" xfId="24" applyNumberFormat="1"/>
    <xf numFmtId="4" fontId="19" fillId="0" borderId="38" xfId="29" applyFont="1" applyBorder="1"/>
    <xf numFmtId="0" fontId="20" fillId="0" borderId="19" xfId="24" applyFont="1" applyBorder="1" applyAlignment="1">
      <alignment vertical="top" wrapText="1"/>
    </xf>
    <xf numFmtId="4" fontId="19" fillId="0" borderId="19" xfId="29" applyFont="1" applyBorder="1" applyAlignment="1">
      <alignment horizontal="center"/>
    </xf>
    <xf numFmtId="0" fontId="1" fillId="0" borderId="38" xfId="24" applyBorder="1" applyAlignment="1">
      <alignment horizontal="center" vertical="top" wrapText="1"/>
    </xf>
    <xf numFmtId="0" fontId="1" fillId="0" borderId="19" xfId="24" applyBorder="1" applyAlignment="1">
      <alignment horizontal="left" vertical="top" wrapText="1"/>
    </xf>
    <xf numFmtId="0" fontId="1" fillId="0" borderId="19" xfId="24" applyBorder="1" applyAlignment="1">
      <alignment horizontal="center" vertical="center" wrapText="1"/>
    </xf>
    <xf numFmtId="4" fontId="19" fillId="0" borderId="38" xfId="29" applyFont="1" applyBorder="1" applyAlignment="1">
      <alignment vertical="center"/>
    </xf>
    <xf numFmtId="4" fontId="19" fillId="0" borderId="19" xfId="29" applyFont="1" applyBorder="1" applyAlignment="1">
      <alignment vertical="center"/>
    </xf>
    <xf numFmtId="4" fontId="1" fillId="0" borderId="38" xfId="29" applyBorder="1"/>
    <xf numFmtId="4" fontId="1" fillId="0" borderId="19" xfId="29" applyBorder="1"/>
    <xf numFmtId="0" fontId="20" fillId="0" borderId="55" xfId="24" applyFont="1" applyBorder="1" applyAlignment="1">
      <alignment horizontal="center" vertical="center"/>
    </xf>
    <xf numFmtId="4" fontId="1" fillId="0" borderId="55" xfId="29" applyBorder="1"/>
    <xf numFmtId="4" fontId="1" fillId="0" borderId="17" xfId="29" applyBorder="1"/>
    <xf numFmtId="4" fontId="21" fillId="0" borderId="17" xfId="29" applyFont="1" applyBorder="1"/>
    <xf numFmtId="0" fontId="20" fillId="0" borderId="0" xfId="24" applyFont="1" applyAlignment="1">
      <alignment vertical="center"/>
    </xf>
    <xf numFmtId="0" fontId="1" fillId="0" borderId="0" xfId="24" applyAlignment="1">
      <alignment horizontal="center"/>
    </xf>
    <xf numFmtId="168" fontId="1" fillId="0" borderId="0" xfId="24" applyNumberFormat="1"/>
    <xf numFmtId="0" fontId="20" fillId="11" borderId="0" xfId="24" applyFont="1" applyFill="1" applyAlignment="1">
      <alignment horizontal="left"/>
    </xf>
    <xf numFmtId="0" fontId="19" fillId="11" borderId="0" xfId="24" applyFont="1" applyFill="1"/>
    <xf numFmtId="0" fontId="4" fillId="11" borderId="0" xfId="24" applyFont="1" applyFill="1" applyAlignment="1">
      <alignment horizontal="center"/>
    </xf>
    <xf numFmtId="1" fontId="20" fillId="11" borderId="0" xfId="24" applyNumberFormat="1" applyFont="1" applyFill="1"/>
    <xf numFmtId="0" fontId="20" fillId="11" borderId="0" xfId="25" applyFont="1"/>
    <xf numFmtId="0" fontId="20" fillId="0" borderId="17" xfId="24" applyFont="1" applyBorder="1"/>
    <xf numFmtId="1" fontId="20" fillId="0" borderId="17" xfId="24" applyNumberFormat="1" applyFont="1" applyBorder="1"/>
    <xf numFmtId="0" fontId="20" fillId="0" borderId="56" xfId="24" applyFont="1" applyBorder="1"/>
    <xf numFmtId="0" fontId="20" fillId="5" borderId="56" xfId="24" applyFont="1" applyFill="1" applyBorder="1" applyAlignment="1">
      <alignment horizontal="center" vertical="center"/>
    </xf>
    <xf numFmtId="4" fontId="1" fillId="0" borderId="79" xfId="29" applyBorder="1"/>
    <xf numFmtId="0" fontId="20" fillId="0" borderId="23" xfId="24" applyFont="1" applyBorder="1" applyAlignment="1">
      <alignment vertical="top" wrapText="1"/>
    </xf>
    <xf numFmtId="4" fontId="1" fillId="0" borderId="23" xfId="29" applyBorder="1"/>
    <xf numFmtId="4" fontId="19" fillId="0" borderId="40" xfId="29" applyFont="1" applyBorder="1"/>
    <xf numFmtId="4" fontId="19" fillId="0" borderId="40" xfId="29" applyFont="1" applyBorder="1" applyAlignment="1">
      <alignment horizontal="center"/>
    </xf>
    <xf numFmtId="2" fontId="19" fillId="0" borderId="38" xfId="1" applyNumberFormat="1" applyFont="1" applyBorder="1" applyAlignment="1">
      <alignment horizontal="left"/>
    </xf>
    <xf numFmtId="2" fontId="98" fillId="0" borderId="19" xfId="1" applyNumberFormat="1" applyFont="1" applyBorder="1" applyAlignment="1">
      <alignment horizontal="center"/>
    </xf>
    <xf numFmtId="4" fontId="1" fillId="0" borderId="40" xfId="29" applyBorder="1"/>
    <xf numFmtId="4" fontId="1" fillId="0" borderId="19" xfId="29" applyBorder="1" applyAlignment="1">
      <alignment horizontal="center"/>
    </xf>
    <xf numFmtId="0" fontId="19" fillId="11" borderId="19" xfId="24" applyFont="1" applyFill="1" applyBorder="1"/>
    <xf numFmtId="4" fontId="1" fillId="0" borderId="56" xfId="29" applyBorder="1"/>
    <xf numFmtId="0" fontId="20" fillId="11" borderId="17" xfId="24" applyFont="1" applyFill="1" applyBorder="1" applyAlignment="1">
      <alignment vertical="center"/>
    </xf>
    <xf numFmtId="0" fontId="20" fillId="11" borderId="0" xfId="24" applyFont="1" applyFill="1" applyAlignment="1">
      <alignment vertical="center"/>
    </xf>
    <xf numFmtId="0" fontId="20" fillId="11" borderId="0" xfId="24" applyFont="1" applyFill="1" applyAlignment="1">
      <alignment horizontal="center"/>
    </xf>
    <xf numFmtId="2" fontId="19" fillId="11" borderId="0" xfId="24" applyNumberFormat="1" applyFont="1" applyFill="1" applyAlignment="1">
      <alignment horizontal="left"/>
    </xf>
    <xf numFmtId="167" fontId="19" fillId="11" borderId="0" xfId="24" applyNumberFormat="1" applyFont="1" applyFill="1" applyAlignment="1">
      <alignment horizontal="center"/>
    </xf>
    <xf numFmtId="2" fontId="20" fillId="2" borderId="100" xfId="1" applyNumberFormat="1" applyFont="1" applyFill="1" applyBorder="1" applyAlignment="1">
      <alignment horizontal="center" vertical="justify"/>
    </xf>
    <xf numFmtId="4" fontId="20" fillId="2" borderId="100" xfId="29" applyFont="1" applyFill="1" applyBorder="1" applyAlignment="1">
      <alignment horizontal="center" vertical="justify"/>
    </xf>
    <xf numFmtId="2" fontId="20" fillId="0" borderId="75" xfId="1" applyNumberFormat="1" applyFont="1" applyBorder="1" applyAlignment="1">
      <alignment horizontal="center" vertical="justify"/>
    </xf>
    <xf numFmtId="168" fontId="20" fillId="0" borderId="101" xfId="1" applyNumberFormat="1" applyFont="1" applyBorder="1" applyAlignment="1">
      <alignment horizontal="center" vertical="justify"/>
    </xf>
    <xf numFmtId="2" fontId="99" fillId="22" borderId="75" xfId="1" applyNumberFormat="1" applyFont="1" applyFill="1" applyBorder="1" applyAlignment="1">
      <alignment horizontal="center" vertical="justify"/>
    </xf>
    <xf numFmtId="170" fontId="99" fillId="22" borderId="75" xfId="1" applyNumberFormat="1" applyFont="1" applyFill="1" applyBorder="1" applyAlignment="1">
      <alignment horizontal="center" vertical="justify"/>
    </xf>
    <xf numFmtId="2" fontId="20" fillId="0" borderId="0" xfId="1" applyNumberFormat="1" applyFont="1" applyAlignment="1">
      <alignment horizontal="left"/>
    </xf>
    <xf numFmtId="2" fontId="20" fillId="0" borderId="23" xfId="1" applyNumberFormat="1" applyFont="1" applyBorder="1" applyAlignment="1">
      <alignment horizontal="left"/>
    </xf>
    <xf numFmtId="43" fontId="20" fillId="0" borderId="0" xfId="1" applyNumberFormat="1" applyFont="1" applyAlignment="1">
      <alignment horizontal="center"/>
    </xf>
    <xf numFmtId="168" fontId="20" fillId="0" borderId="23" xfId="1" applyNumberFormat="1" applyFont="1" applyBorder="1" applyAlignment="1">
      <alignment horizontal="right"/>
    </xf>
    <xf numFmtId="2" fontId="100" fillId="22" borderId="19" xfId="1" applyNumberFormat="1" applyFont="1" applyFill="1" applyBorder="1"/>
    <xf numFmtId="170" fontId="100" fillId="22" borderId="19" xfId="1" applyNumberFormat="1" applyFont="1" applyFill="1" applyBorder="1"/>
    <xf numFmtId="2" fontId="20" fillId="0" borderId="19" xfId="1" applyNumberFormat="1" applyFont="1" applyBorder="1" applyAlignment="1">
      <alignment horizontal="left"/>
    </xf>
    <xf numFmtId="168" fontId="20" fillId="0" borderId="19" xfId="1" applyNumberFormat="1" applyFont="1" applyBorder="1" applyAlignment="1">
      <alignment horizontal="right"/>
    </xf>
    <xf numFmtId="0" fontId="20" fillId="0" borderId="0" xfId="1" applyFont="1" applyAlignment="1">
      <alignment wrapText="1"/>
    </xf>
    <xf numFmtId="43" fontId="19" fillId="0" borderId="0" xfId="1" applyNumberFormat="1" applyFont="1" applyAlignment="1">
      <alignment horizontal="center"/>
    </xf>
    <xf numFmtId="2" fontId="19" fillId="0" borderId="19" xfId="1" applyNumberFormat="1" applyFont="1" applyBorder="1" applyAlignment="1">
      <alignment horizontal="center"/>
    </xf>
    <xf numFmtId="2" fontId="19" fillId="0" borderId="19" xfId="1" applyNumberFormat="1" applyFont="1" applyBorder="1" applyAlignment="1">
      <alignment horizontal="left"/>
    </xf>
    <xf numFmtId="0" fontId="19" fillId="0" borderId="0" xfId="1" applyFont="1" applyAlignment="1">
      <alignment horizontal="left"/>
    </xf>
    <xf numFmtId="2" fontId="99" fillId="0" borderId="0" xfId="1" applyNumberFormat="1" applyFont="1" applyAlignment="1">
      <alignment horizontal="left"/>
    </xf>
    <xf numFmtId="2" fontId="100" fillId="0" borderId="19" xfId="1" applyNumberFormat="1" applyFont="1" applyBorder="1" applyAlignment="1">
      <alignment horizontal="left"/>
    </xf>
    <xf numFmtId="43" fontId="100" fillId="0" borderId="0" xfId="1" applyNumberFormat="1" applyFont="1" applyAlignment="1">
      <alignment horizontal="center"/>
    </xf>
    <xf numFmtId="168" fontId="99" fillId="0" borderId="19" xfId="1" applyNumberFormat="1" applyFont="1" applyBorder="1" applyAlignment="1">
      <alignment horizontal="right"/>
    </xf>
    <xf numFmtId="2" fontId="99" fillId="0" borderId="19" xfId="1" applyNumberFormat="1" applyFont="1" applyBorder="1" applyAlignment="1">
      <alignment horizontal="left"/>
    </xf>
    <xf numFmtId="43" fontId="99" fillId="0" borderId="0" xfId="1" applyNumberFormat="1" applyFont="1" applyAlignment="1">
      <alignment horizontal="center"/>
    </xf>
    <xf numFmtId="49" fontId="21" fillId="0" borderId="0" xfId="24" applyNumberFormat="1" applyFont="1" applyBorder="1" applyAlignment="1">
      <alignment horizontal="left" vertical="top"/>
    </xf>
    <xf numFmtId="0" fontId="21" fillId="0" borderId="0" xfId="24" applyNumberFormat="1" applyFont="1" applyBorder="1" applyAlignment="1">
      <alignment horizontal="left" vertical="top"/>
    </xf>
    <xf numFmtId="0" fontId="21" fillId="0" borderId="0" xfId="24" applyNumberFormat="1" applyFont="1" applyBorder="1" applyAlignment="1">
      <alignment horizontal="center" vertical="top"/>
    </xf>
    <xf numFmtId="0" fontId="21" fillId="0" borderId="0" xfId="24" applyNumberFormat="1" applyFont="1" applyBorder="1" applyAlignment="1">
      <alignment vertical="top"/>
    </xf>
    <xf numFmtId="0" fontId="21" fillId="0" borderId="0" xfId="24" applyNumberFormat="1" applyFont="1" applyBorder="1" applyAlignment="1">
      <alignment horizontal="right" vertical="top"/>
    </xf>
    <xf numFmtId="49" fontId="20" fillId="0" borderId="95" xfId="24" applyNumberFormat="1" applyFont="1" applyBorder="1" applyAlignment="1">
      <alignment horizontal="center" vertical="center" wrapText="1"/>
    </xf>
    <xf numFmtId="0" fontId="20" fillId="0" borderId="75" xfId="24" applyNumberFormat="1" applyFont="1" applyBorder="1" applyAlignment="1">
      <alignment horizontal="center" vertical="center" wrapText="1"/>
    </xf>
    <xf numFmtId="0" fontId="20" fillId="0" borderId="96" xfId="24" applyNumberFormat="1" applyFont="1" applyBorder="1" applyAlignment="1">
      <alignment horizontal="center" vertical="center" wrapText="1"/>
    </xf>
    <xf numFmtId="49" fontId="19" fillId="0" borderId="168" xfId="24" applyNumberFormat="1" applyFont="1" applyBorder="1" applyAlignment="1">
      <alignment horizontal="left" vertical="top" wrapText="1"/>
    </xf>
    <xf numFmtId="0" fontId="19" fillId="0" borderId="23" xfId="24" applyNumberFormat="1" applyFont="1" applyBorder="1" applyAlignment="1">
      <alignment horizontal="left" vertical="top" wrapText="1"/>
    </xf>
    <xf numFmtId="0" fontId="19" fillId="0" borderId="23" xfId="24" applyNumberFormat="1" applyFont="1" applyBorder="1" applyAlignment="1">
      <alignment horizontal="center" wrapText="1"/>
    </xf>
    <xf numFmtId="0" fontId="19" fillId="0" borderId="23" xfId="24" applyNumberFormat="1" applyFont="1" applyBorder="1" applyAlignment="1">
      <alignment wrapText="1"/>
    </xf>
    <xf numFmtId="0" fontId="19" fillId="0" borderId="99" xfId="24" applyNumberFormat="1" applyFont="1" applyBorder="1" applyAlignment="1">
      <alignment horizontal="right" wrapText="1"/>
    </xf>
    <xf numFmtId="49" fontId="20" fillId="0" borderId="50" xfId="24" applyNumberFormat="1" applyFont="1" applyBorder="1" applyAlignment="1">
      <alignment horizontal="left" vertical="top" wrapText="1"/>
    </xf>
    <xf numFmtId="0" fontId="101" fillId="0" borderId="19" xfId="24" applyNumberFormat="1" applyFont="1" applyBorder="1" applyAlignment="1">
      <alignment horizontal="left" vertical="top" wrapText="1"/>
    </xf>
    <xf numFmtId="0" fontId="19" fillId="0" borderId="19" xfId="24" applyNumberFormat="1" applyFont="1" applyBorder="1" applyAlignment="1">
      <alignment horizontal="center" wrapText="1"/>
    </xf>
    <xf numFmtId="0" fontId="19" fillId="0" borderId="19" xfId="24" applyNumberFormat="1" applyFont="1" applyBorder="1" applyAlignment="1">
      <alignment wrapText="1"/>
    </xf>
    <xf numFmtId="0" fontId="19" fillId="0" borderId="31" xfId="24" applyNumberFormat="1" applyFont="1" applyBorder="1" applyAlignment="1">
      <alignment horizontal="right" wrapText="1"/>
    </xf>
    <xf numFmtId="49" fontId="19" fillId="0" borderId="50" xfId="24" applyNumberFormat="1" applyFont="1" applyBorder="1" applyAlignment="1">
      <alignment horizontal="left" vertical="top" wrapText="1"/>
    </xf>
    <xf numFmtId="0" fontId="19" fillId="0" borderId="19" xfId="24" applyNumberFormat="1" applyFont="1" applyBorder="1" applyAlignment="1">
      <alignment horizontal="left" vertical="top" wrapText="1"/>
    </xf>
    <xf numFmtId="0" fontId="20" fillId="0" borderId="19" xfId="24" applyNumberFormat="1" applyFont="1" applyBorder="1" applyAlignment="1">
      <alignment horizontal="left" vertical="top" wrapText="1"/>
    </xf>
    <xf numFmtId="0" fontId="19" fillId="0" borderId="31" xfId="24" applyNumberFormat="1" applyFont="1" applyBorder="1" applyAlignment="1">
      <alignment horizontal="center" wrapText="1"/>
    </xf>
    <xf numFmtId="0" fontId="19" fillId="0" borderId="12" xfId="24" applyNumberFormat="1" applyFont="1" applyBorder="1" applyAlignment="1">
      <alignment horizontal="center" wrapText="1"/>
    </xf>
    <xf numFmtId="49" fontId="19" fillId="0" borderId="50" xfId="24" applyNumberFormat="1" applyFont="1" applyBorder="1" applyAlignment="1">
      <alignment horizontal="left" vertical="top"/>
    </xf>
    <xf numFmtId="0" fontId="19" fillId="0" borderId="19" xfId="24" applyNumberFormat="1" applyFont="1" applyBorder="1" applyAlignment="1">
      <alignment horizontal="left" vertical="top"/>
    </xf>
    <xf numFmtId="0" fontId="19" fillId="0" borderId="19" xfId="24" applyNumberFormat="1" applyFont="1" applyBorder="1" applyAlignment="1">
      <alignment horizontal="center" vertical="top"/>
    </xf>
    <xf numFmtId="180" fontId="19" fillId="0" borderId="12" xfId="24" applyNumberFormat="1" applyFont="1" applyBorder="1" applyAlignment="1">
      <alignment horizontal="center" wrapText="1"/>
    </xf>
    <xf numFmtId="0" fontId="19" fillId="0" borderId="19" xfId="24" applyNumberFormat="1" applyFont="1" applyBorder="1" applyAlignment="1">
      <alignment vertical="top"/>
    </xf>
    <xf numFmtId="0" fontId="19" fillId="0" borderId="19" xfId="24" applyNumberFormat="1" applyFont="1" applyBorder="1" applyAlignment="1">
      <alignment horizontal="center" vertical="center" wrapText="1"/>
    </xf>
    <xf numFmtId="3" fontId="19" fillId="0" borderId="19" xfId="24" applyNumberFormat="1" applyFont="1" applyBorder="1" applyAlignment="1">
      <alignment horizontal="center" vertical="center" wrapText="1"/>
    </xf>
    <xf numFmtId="168" fontId="19" fillId="0" borderId="19" xfId="30" applyNumberFormat="1" applyFont="1" applyBorder="1" applyAlignment="1">
      <alignment horizontal="center" vertical="center" wrapText="1"/>
    </xf>
    <xf numFmtId="49" fontId="1" fillId="0" borderId="50" xfId="24" applyNumberFormat="1" applyBorder="1" applyAlignment="1">
      <alignment horizontal="left" vertical="top"/>
    </xf>
    <xf numFmtId="0" fontId="1" fillId="0" borderId="19" xfId="24" applyNumberFormat="1" applyBorder="1" applyAlignment="1">
      <alignment horizontal="left" vertical="top"/>
    </xf>
    <xf numFmtId="0" fontId="1" fillId="0" borderId="19" xfId="24" applyNumberFormat="1" applyBorder="1" applyAlignment="1">
      <alignment horizontal="center" vertical="top"/>
    </xf>
    <xf numFmtId="0" fontId="1" fillId="0" borderId="19" xfId="24" applyNumberFormat="1" applyFont="1" applyBorder="1" applyAlignment="1">
      <alignment vertical="top"/>
    </xf>
    <xf numFmtId="0" fontId="1" fillId="0" borderId="12" xfId="24" applyNumberFormat="1" applyFont="1" applyBorder="1" applyAlignment="1">
      <alignment horizontal="center" vertical="top"/>
    </xf>
    <xf numFmtId="0" fontId="1" fillId="0" borderId="19" xfId="24" applyNumberFormat="1" applyFont="1" applyBorder="1" applyAlignment="1">
      <alignment horizontal="left" vertical="top" wrapText="1"/>
    </xf>
    <xf numFmtId="0" fontId="1" fillId="0" borderId="19" xfId="24" applyNumberFormat="1" applyFont="1" applyBorder="1" applyAlignment="1">
      <alignment horizontal="center" vertical="top"/>
    </xf>
    <xf numFmtId="0" fontId="1" fillId="0" borderId="31" xfId="24" applyNumberFormat="1" applyFont="1" applyBorder="1" applyAlignment="1">
      <alignment horizontal="center" vertical="top"/>
    </xf>
    <xf numFmtId="168" fontId="19" fillId="0" borderId="19" xfId="24" applyNumberFormat="1" applyFont="1" applyBorder="1" applyAlignment="1">
      <alignment horizontal="center" vertical="center" wrapText="1"/>
    </xf>
    <xf numFmtId="168" fontId="19" fillId="0" borderId="31" xfId="30" applyNumberFormat="1" applyFont="1" applyBorder="1" applyAlignment="1">
      <alignment horizontal="center" vertical="center" wrapText="1"/>
    </xf>
    <xf numFmtId="0" fontId="1" fillId="0" borderId="19" xfId="24" applyNumberFormat="1" applyBorder="1" applyAlignment="1">
      <alignment horizontal="center" vertical="center"/>
    </xf>
    <xf numFmtId="0" fontId="1" fillId="0" borderId="19" xfId="24" applyNumberFormat="1" applyFont="1" applyBorder="1" applyAlignment="1">
      <alignment horizontal="center" vertical="center"/>
    </xf>
    <xf numFmtId="168" fontId="19" fillId="0" borderId="31" xfId="24" applyNumberFormat="1" applyFont="1" applyBorder="1" applyAlignment="1">
      <alignment horizontal="center" vertical="center" wrapText="1"/>
    </xf>
    <xf numFmtId="0" fontId="19" fillId="0" borderId="19" xfId="24" applyNumberFormat="1" applyFont="1" applyBorder="1" applyAlignment="1">
      <alignment horizontal="left" vertical="top" wrapText="1" indent="1"/>
    </xf>
    <xf numFmtId="0" fontId="1" fillId="0" borderId="19" xfId="24" applyBorder="1" applyAlignment="1">
      <alignment vertical="top" wrapText="1"/>
    </xf>
    <xf numFmtId="0" fontId="1" fillId="0" borderId="19" xfId="24" applyFill="1" applyBorder="1" applyAlignment="1">
      <alignment vertical="top" wrapText="1"/>
    </xf>
    <xf numFmtId="1" fontId="19" fillId="0" borderId="19" xfId="24" applyNumberFormat="1" applyFont="1" applyBorder="1" applyAlignment="1">
      <alignment horizontal="center" vertical="center" wrapText="1"/>
    </xf>
    <xf numFmtId="49" fontId="21" fillId="0" borderId="50" xfId="24" applyNumberFormat="1" applyFont="1" applyBorder="1" applyAlignment="1">
      <alignment horizontal="left" vertical="top"/>
    </xf>
    <xf numFmtId="0" fontId="21" fillId="0" borderId="19" xfId="24" applyNumberFormat="1" applyFont="1" applyBorder="1" applyAlignment="1">
      <alignment horizontal="left" vertical="top" wrapText="1"/>
    </xf>
    <xf numFmtId="49" fontId="1" fillId="0" borderId="50" xfId="24" applyNumberFormat="1" applyFont="1" applyBorder="1" applyAlignment="1">
      <alignment horizontal="left" vertical="top"/>
    </xf>
    <xf numFmtId="0" fontId="1" fillId="0" borderId="19" xfId="24" applyNumberFormat="1" applyBorder="1" applyAlignment="1">
      <alignment vertical="top"/>
    </xf>
    <xf numFmtId="168" fontId="19" fillId="0" borderId="19" xfId="24" applyNumberFormat="1" applyFont="1" applyBorder="1" applyAlignment="1">
      <alignment wrapText="1"/>
    </xf>
    <xf numFmtId="168" fontId="19" fillId="0" borderId="31" xfId="24" applyNumberFormat="1" applyFont="1" applyBorder="1" applyAlignment="1">
      <alignment horizontal="right" wrapText="1"/>
    </xf>
    <xf numFmtId="0" fontId="1" fillId="0" borderId="19" xfId="24" applyFont="1" applyBorder="1" applyAlignment="1">
      <alignment vertical="center"/>
    </xf>
    <xf numFmtId="168" fontId="19" fillId="0" borderId="31" xfId="30" applyNumberFormat="1" applyFont="1" applyBorder="1" applyAlignment="1">
      <alignment horizontal="right" wrapText="1"/>
    </xf>
    <xf numFmtId="0" fontId="1" fillId="0" borderId="50" xfId="24" applyFont="1" applyBorder="1" applyAlignment="1">
      <alignment horizontal="center" vertical="center"/>
    </xf>
    <xf numFmtId="49" fontId="19" fillId="0" borderId="49" xfId="24" applyNumberFormat="1" applyFont="1" applyBorder="1" applyAlignment="1">
      <alignment horizontal="left" vertical="top" wrapText="1"/>
    </xf>
    <xf numFmtId="0" fontId="19" fillId="0" borderId="24" xfId="24" applyNumberFormat="1" applyFont="1" applyBorder="1" applyAlignment="1">
      <alignment horizontal="left" vertical="top" wrapText="1"/>
    </xf>
    <xf numFmtId="0" fontId="19" fillId="0" borderId="24" xfId="24" applyNumberFormat="1" applyFont="1" applyBorder="1" applyAlignment="1">
      <alignment horizontal="center" wrapText="1"/>
    </xf>
    <xf numFmtId="168" fontId="19" fillId="0" borderId="24" xfId="24" applyNumberFormat="1" applyFont="1" applyBorder="1" applyAlignment="1">
      <alignment wrapText="1"/>
    </xf>
    <xf numFmtId="168" fontId="19" fillId="0" borderId="170" xfId="24" applyNumberFormat="1" applyFont="1" applyBorder="1" applyAlignment="1">
      <alignment horizontal="right" wrapText="1"/>
    </xf>
    <xf numFmtId="49" fontId="19" fillId="0" borderId="147" xfId="24" applyNumberFormat="1" applyFont="1" applyBorder="1" applyAlignment="1">
      <alignment vertical="center"/>
    </xf>
    <xf numFmtId="49" fontId="20" fillId="0" borderId="148" xfId="24" applyNumberFormat="1" applyFont="1" applyBorder="1" applyAlignment="1">
      <alignment vertical="center"/>
    </xf>
    <xf numFmtId="49" fontId="20" fillId="0" borderId="148" xfId="24" applyNumberFormat="1" applyFont="1" applyBorder="1" applyAlignment="1">
      <alignment horizontal="center" vertical="center"/>
    </xf>
    <xf numFmtId="168" fontId="20" fillId="0" borderId="148" xfId="24" applyNumberFormat="1" applyFont="1" applyBorder="1" applyAlignment="1">
      <alignment vertical="center"/>
    </xf>
    <xf numFmtId="168" fontId="20" fillId="0" borderId="171" xfId="24" applyNumberFormat="1" applyFont="1" applyBorder="1" applyAlignment="1">
      <alignment vertical="center"/>
    </xf>
    <xf numFmtId="0" fontId="19" fillId="0" borderId="31" xfId="24" applyNumberFormat="1" applyFont="1" applyBorder="1" applyAlignment="1">
      <alignment horizontal="center" vertical="top"/>
    </xf>
    <xf numFmtId="178" fontId="19" fillId="0" borderId="12" xfId="24" applyNumberFormat="1" applyFont="1" applyBorder="1" applyAlignment="1">
      <alignment horizontal="center" wrapText="1"/>
    </xf>
    <xf numFmtId="4" fontId="19" fillId="0" borderId="19" xfId="24" applyNumberFormat="1" applyFont="1" applyBorder="1" applyAlignment="1">
      <alignment horizontal="center" vertical="top"/>
    </xf>
    <xf numFmtId="0" fontId="19" fillId="0" borderId="19" xfId="24" applyNumberFormat="1" applyFont="1" applyBorder="1" applyAlignment="1">
      <alignment horizontal="center" vertical="center"/>
    </xf>
    <xf numFmtId="179" fontId="19" fillId="0" borderId="19" xfId="24" applyNumberFormat="1" applyFont="1" applyBorder="1" applyAlignment="1">
      <alignment horizontal="center" vertical="center" wrapText="1"/>
    </xf>
    <xf numFmtId="0" fontId="19" fillId="0" borderId="19" xfId="24" applyFont="1" applyBorder="1" applyAlignment="1">
      <alignment vertical="top" wrapText="1"/>
    </xf>
    <xf numFmtId="4" fontId="19" fillId="0" borderId="19" xfId="24" applyNumberFormat="1" applyFont="1" applyBorder="1" applyAlignment="1">
      <alignment horizontal="center" vertical="center" wrapText="1"/>
    </xf>
    <xf numFmtId="0" fontId="19" fillId="0" borderId="19" xfId="24" applyFont="1" applyFill="1" applyBorder="1" applyAlignment="1">
      <alignment vertical="top" wrapText="1"/>
    </xf>
    <xf numFmtId="0" fontId="102" fillId="0" borderId="17" xfId="1" applyFont="1" applyBorder="1" applyAlignment="1">
      <alignment horizontal="left"/>
    </xf>
    <xf numFmtId="0" fontId="102" fillId="0" borderId="81" xfId="1" applyFont="1" applyBorder="1"/>
    <xf numFmtId="0" fontId="102" fillId="0" borderId="17" xfId="1" applyFont="1" applyBorder="1"/>
    <xf numFmtId="0" fontId="102" fillId="0" borderId="81" xfId="1" applyFont="1" applyBorder="1" applyAlignment="1">
      <alignment horizontal="center"/>
    </xf>
    <xf numFmtId="0" fontId="21" fillId="0" borderId="17" xfId="1" applyFont="1" applyBorder="1"/>
    <xf numFmtId="0" fontId="102" fillId="0" borderId="23" xfId="1" applyFont="1" applyBorder="1" applyAlignment="1">
      <alignment horizontal="left"/>
    </xf>
    <xf numFmtId="0" fontId="102" fillId="0" borderId="61" xfId="1" applyFont="1" applyBorder="1"/>
    <xf numFmtId="0" fontId="102" fillId="0" borderId="23" xfId="1" applyFont="1" applyBorder="1"/>
    <xf numFmtId="0" fontId="102" fillId="0" borderId="61" xfId="1" applyFont="1" applyBorder="1" applyAlignment="1">
      <alignment horizontal="center"/>
    </xf>
    <xf numFmtId="0" fontId="1" fillId="0" borderId="23" xfId="1" applyBorder="1"/>
    <xf numFmtId="44" fontId="1" fillId="0" borderId="23" xfId="1" applyNumberFormat="1" applyBorder="1"/>
    <xf numFmtId="0" fontId="103" fillId="0" borderId="19" xfId="1" applyFont="1" applyBorder="1" applyAlignment="1">
      <alignment horizontal="left"/>
    </xf>
    <xf numFmtId="0" fontId="104" fillId="0" borderId="0" xfId="1" applyFont="1" applyBorder="1"/>
    <xf numFmtId="0" fontId="92" fillId="0" borderId="0" xfId="1" applyFont="1" applyBorder="1" applyAlignment="1">
      <alignment horizontal="center"/>
    </xf>
    <xf numFmtId="0" fontId="1" fillId="0" borderId="19" xfId="1" applyBorder="1"/>
    <xf numFmtId="44" fontId="1" fillId="0" borderId="19" xfId="1" applyNumberFormat="1" applyBorder="1"/>
    <xf numFmtId="0" fontId="92" fillId="0" borderId="19" xfId="1" applyFont="1" applyBorder="1" applyAlignment="1">
      <alignment horizontal="left"/>
    </xf>
    <xf numFmtId="0" fontId="92" fillId="0" borderId="0" xfId="1" applyFont="1" applyBorder="1"/>
    <xf numFmtId="0" fontId="92" fillId="0" borderId="38" xfId="1" applyFont="1" applyBorder="1" applyAlignment="1">
      <alignment horizontal="center" vertical="center" wrapText="1"/>
    </xf>
    <xf numFmtId="0" fontId="103" fillId="0" borderId="19" xfId="1" applyFont="1" applyBorder="1" applyAlignment="1">
      <alignment vertical="center" wrapText="1"/>
    </xf>
    <xf numFmtId="0" fontId="92" fillId="0" borderId="0" xfId="1" applyFont="1" applyBorder="1" applyAlignment="1">
      <alignment horizontal="center" vertical="center" wrapText="1"/>
    </xf>
    <xf numFmtId="181" fontId="92" fillId="0" borderId="38" xfId="29" applyNumberFormat="1" applyFont="1" applyFill="1" applyBorder="1" applyAlignment="1">
      <alignment horizontal="center" vertical="center" wrapText="1"/>
    </xf>
    <xf numFmtId="0" fontId="1" fillId="0" borderId="19" xfId="1" applyBorder="1" applyAlignment="1">
      <alignment horizontal="center"/>
    </xf>
    <xf numFmtId="0" fontId="92" fillId="0" borderId="19" xfId="1" applyFont="1" applyBorder="1" applyAlignment="1">
      <alignment vertical="center" wrapText="1"/>
    </xf>
    <xf numFmtId="181" fontId="92" fillId="0" borderId="38" xfId="29" applyNumberFormat="1" applyFont="1" applyFill="1" applyBorder="1" applyAlignment="1">
      <alignment vertical="center" wrapText="1"/>
    </xf>
    <xf numFmtId="0" fontId="1" fillId="0" borderId="19" xfId="1" applyFont="1" applyBorder="1" applyAlignment="1">
      <alignment horizontal="center" vertical="center"/>
    </xf>
    <xf numFmtId="44" fontId="1" fillId="0" borderId="19" xfId="1" applyNumberFormat="1" applyBorder="1" applyAlignment="1">
      <alignment horizontal="center" vertical="center"/>
    </xf>
    <xf numFmtId="0" fontId="92" fillId="0" borderId="19" xfId="1" applyFont="1" applyBorder="1" applyAlignment="1">
      <alignment vertical="center"/>
    </xf>
    <xf numFmtId="0" fontId="92" fillId="0" borderId="42" xfId="1" applyFont="1" applyBorder="1" applyAlignment="1">
      <alignment horizontal="center" vertical="center" wrapText="1"/>
    </xf>
    <xf numFmtId="0" fontId="92" fillId="0" borderId="24" xfId="1" applyFont="1" applyBorder="1" applyAlignment="1">
      <alignment vertical="center" wrapText="1"/>
    </xf>
    <xf numFmtId="0" fontId="92" fillId="0" borderId="36" xfId="1" applyFont="1" applyBorder="1" applyAlignment="1">
      <alignment horizontal="center" vertical="center" wrapText="1"/>
    </xf>
    <xf numFmtId="181" fontId="92" fillId="0" borderId="42" xfId="29" applyNumberFormat="1" applyFont="1" applyFill="1" applyBorder="1" applyAlignment="1">
      <alignment horizontal="center" vertical="center" wrapText="1"/>
    </xf>
    <xf numFmtId="0" fontId="1" fillId="0" borderId="24" xfId="1" applyFont="1" applyBorder="1" applyAlignment="1">
      <alignment horizontal="center"/>
    </xf>
    <xf numFmtId="44" fontId="21" fillId="0" borderId="56" xfId="1" applyNumberFormat="1" applyFont="1" applyBorder="1" applyAlignment="1">
      <alignment horizontal="center"/>
    </xf>
    <xf numFmtId="44" fontId="1" fillId="0" borderId="0" xfId="1" applyNumberFormat="1"/>
    <xf numFmtId="0" fontId="21" fillId="0" borderId="23" xfId="1" applyFont="1" applyBorder="1"/>
    <xf numFmtId="44" fontId="21" fillId="0" borderId="17" xfId="1" applyNumberFormat="1" applyFont="1" applyBorder="1"/>
    <xf numFmtId="44" fontId="1" fillId="0" borderId="40" xfId="1" applyNumberFormat="1" applyBorder="1"/>
    <xf numFmtId="0" fontId="106" fillId="0" borderId="0" xfId="1" applyFont="1" applyBorder="1"/>
    <xf numFmtId="0" fontId="1" fillId="0" borderId="19" xfId="1" applyFont="1" applyBorder="1"/>
    <xf numFmtId="44" fontId="1" fillId="0" borderId="40" xfId="1" applyNumberFormat="1" applyFont="1" applyBorder="1"/>
    <xf numFmtId="0" fontId="92" fillId="0" borderId="19" xfId="1" applyFont="1" applyBorder="1" applyAlignment="1">
      <alignment horizontal="right"/>
    </xf>
    <xf numFmtId="164" fontId="92" fillId="0" borderId="38" xfId="29" applyNumberFormat="1" applyFont="1" applyFill="1" applyBorder="1" applyAlignment="1">
      <alignment wrapText="1"/>
    </xf>
    <xf numFmtId="164" fontId="92" fillId="0" borderId="0" xfId="29" applyNumberFormat="1" applyFont="1" applyFill="1" applyBorder="1" applyAlignment="1"/>
    <xf numFmtId="0" fontId="1" fillId="0" borderId="0" xfId="1" applyFont="1" applyBorder="1"/>
    <xf numFmtId="0" fontId="80" fillId="0" borderId="19" xfId="1" applyFont="1" applyBorder="1" applyAlignment="1">
      <alignment horizontal="left"/>
    </xf>
    <xf numFmtId="0" fontId="80" fillId="0" borderId="0" xfId="1" applyFont="1" applyBorder="1" applyAlignment="1">
      <alignment horizontal="center"/>
    </xf>
    <xf numFmtId="0" fontId="80" fillId="0" borderId="24" xfId="1" applyFont="1" applyBorder="1" applyAlignment="1">
      <alignment horizontal="left"/>
    </xf>
    <xf numFmtId="0" fontId="1" fillId="0" borderId="36" xfId="1" applyFont="1" applyBorder="1"/>
    <xf numFmtId="0" fontId="1" fillId="0" borderId="24" xfId="1" applyFont="1" applyBorder="1"/>
    <xf numFmtId="0" fontId="80" fillId="0" borderId="36" xfId="1" applyFont="1" applyBorder="1" applyAlignment="1">
      <alignment horizontal="center"/>
    </xf>
    <xf numFmtId="44" fontId="1" fillId="0" borderId="17" xfId="1" applyNumberFormat="1" applyBorder="1"/>
    <xf numFmtId="44" fontId="102" fillId="0" borderId="56" xfId="1" applyNumberFormat="1" applyFont="1" applyBorder="1"/>
    <xf numFmtId="0" fontId="103" fillId="0" borderId="19" xfId="1" applyFont="1" applyBorder="1" applyAlignment="1">
      <alignment horizontal="center"/>
    </xf>
    <xf numFmtId="0" fontId="104" fillId="0" borderId="19" xfId="1" applyFont="1" applyBorder="1"/>
    <xf numFmtId="0" fontId="92" fillId="0" borderId="19" xfId="1" applyFont="1" applyBorder="1" applyAlignment="1">
      <alignment horizontal="center" vertical="center" wrapText="1"/>
    </xf>
    <xf numFmtId="0" fontId="1" fillId="0" borderId="19" xfId="1" applyFont="1" applyBorder="1" applyAlignment="1">
      <alignment vertical="center"/>
    </xf>
    <xf numFmtId="44" fontId="1" fillId="0" borderId="19" xfId="1" applyNumberFormat="1" applyBorder="1" applyAlignment="1">
      <alignment vertical="center"/>
    </xf>
    <xf numFmtId="181" fontId="92" fillId="0" borderId="19" xfId="29" applyNumberFormat="1" applyFont="1" applyFill="1" applyBorder="1" applyAlignment="1">
      <alignment horizontal="center" vertical="center" wrapText="1"/>
    </xf>
    <xf numFmtId="0" fontId="92" fillId="0" borderId="40" xfId="1" applyFont="1" applyBorder="1" applyAlignment="1">
      <alignment horizontal="center"/>
    </xf>
    <xf numFmtId="0" fontId="92" fillId="0" borderId="19" xfId="1" applyFont="1" applyBorder="1" applyAlignment="1">
      <alignment vertical="top" wrapText="1"/>
    </xf>
    <xf numFmtId="0" fontId="92" fillId="0" borderId="19" xfId="31" applyFont="1" applyBorder="1" applyAlignment="1">
      <alignment horizontal="center"/>
    </xf>
    <xf numFmtId="0" fontId="80" fillId="0" borderId="24" xfId="1" applyFont="1" applyBorder="1" applyAlignment="1">
      <alignment horizontal="center"/>
    </xf>
    <xf numFmtId="0" fontId="1" fillId="0" borderId="24" xfId="1" applyBorder="1"/>
    <xf numFmtId="0" fontId="1" fillId="0" borderId="36" xfId="1" applyBorder="1"/>
    <xf numFmtId="44" fontId="1" fillId="0" borderId="24" xfId="1" applyNumberFormat="1" applyBorder="1"/>
    <xf numFmtId="4" fontId="21" fillId="0" borderId="0" xfId="32" applyNumberFormat="1" applyFont="1" applyProtection="1">
      <protection locked="0"/>
    </xf>
    <xf numFmtId="0" fontId="1" fillId="0" borderId="0" xfId="32" applyFont="1" applyProtection="1">
      <protection locked="0"/>
    </xf>
    <xf numFmtId="0" fontId="1" fillId="0" borderId="0" xfId="32" applyFont="1" applyAlignment="1" applyProtection="1">
      <alignment horizontal="center"/>
      <protection locked="0"/>
    </xf>
    <xf numFmtId="4" fontId="1" fillId="0" borderId="0" xfId="32" applyNumberFormat="1" applyFont="1" applyAlignment="1" applyProtection="1">
      <alignment horizontal="center"/>
      <protection locked="0"/>
    </xf>
    <xf numFmtId="0" fontId="16" fillId="0" borderId="0" xfId="32" applyProtection="1">
      <protection locked="0"/>
    </xf>
    <xf numFmtId="0" fontId="21" fillId="0" borderId="0" xfId="32" applyFont="1" applyProtection="1">
      <protection locked="0"/>
    </xf>
    <xf numFmtId="2" fontId="1" fillId="0" borderId="0" xfId="32" applyNumberFormat="1" applyFont="1" applyAlignment="1" applyProtection="1">
      <alignment horizontal="center"/>
      <protection locked="0"/>
    </xf>
    <xf numFmtId="4" fontId="21" fillId="0" borderId="0" xfId="32" applyNumberFormat="1" applyFont="1" applyAlignment="1" applyProtection="1">
      <alignment horizontal="center"/>
      <protection locked="0"/>
    </xf>
    <xf numFmtId="0" fontId="21" fillId="5" borderId="23" xfId="32" applyFont="1" applyFill="1" applyBorder="1" applyAlignment="1" applyProtection="1">
      <alignment horizontal="center"/>
      <protection locked="0"/>
    </xf>
    <xf numFmtId="0" fontId="21" fillId="5" borderId="71" xfId="32" applyFont="1" applyFill="1" applyBorder="1" applyAlignment="1" applyProtection="1">
      <alignment horizontal="center"/>
      <protection locked="0"/>
    </xf>
    <xf numFmtId="0" fontId="21" fillId="23" borderId="61" xfId="32" applyFont="1" applyFill="1" applyBorder="1" applyAlignment="1" applyProtection="1">
      <alignment horizontal="center"/>
      <protection locked="0"/>
    </xf>
    <xf numFmtId="0" fontId="21" fillId="5" borderId="79" xfId="32" applyFont="1" applyFill="1" applyBorder="1" applyAlignment="1" applyProtection="1">
      <alignment horizontal="center"/>
      <protection locked="0"/>
    </xf>
    <xf numFmtId="2" fontId="21" fillId="5" borderId="23" xfId="32" applyNumberFormat="1" applyFont="1" applyFill="1" applyBorder="1" applyAlignment="1" applyProtection="1">
      <alignment horizontal="center"/>
      <protection locked="0"/>
    </xf>
    <xf numFmtId="4" fontId="1" fillId="5" borderId="23" xfId="32" applyNumberFormat="1" applyFont="1" applyFill="1" applyBorder="1" applyAlignment="1" applyProtection="1">
      <alignment horizontal="center"/>
      <protection locked="0"/>
    </xf>
    <xf numFmtId="0" fontId="21" fillId="5" borderId="19" xfId="32" applyFont="1" applyFill="1" applyBorder="1" applyAlignment="1" applyProtection="1">
      <alignment horizontal="center"/>
      <protection locked="0"/>
    </xf>
    <xf numFmtId="0" fontId="21" fillId="5" borderId="38" xfId="32" applyFont="1" applyFill="1" applyBorder="1" applyAlignment="1" applyProtection="1">
      <alignment horizontal="centerContinuous"/>
      <protection locked="0"/>
    </xf>
    <xf numFmtId="0" fontId="16" fillId="5" borderId="40" xfId="32" applyFill="1" applyBorder="1" applyAlignment="1" applyProtection="1">
      <alignment horizontal="centerContinuous"/>
      <protection locked="0"/>
    </xf>
    <xf numFmtId="2" fontId="21" fillId="5" borderId="19" xfId="32" applyNumberFormat="1" applyFont="1" applyFill="1" applyBorder="1" applyAlignment="1" applyProtection="1">
      <alignment horizontal="center"/>
      <protection locked="0"/>
    </xf>
    <xf numFmtId="0" fontId="1" fillId="0" borderId="23" xfId="32" applyFont="1" applyBorder="1" applyProtection="1">
      <protection locked="0"/>
    </xf>
    <xf numFmtId="0" fontId="1" fillId="0" borderId="71" xfId="32" applyFont="1" applyBorder="1" applyProtection="1">
      <protection locked="0"/>
    </xf>
    <xf numFmtId="0" fontId="1" fillId="0" borderId="61" xfId="32" applyFont="1" applyBorder="1" applyProtection="1">
      <protection locked="0"/>
    </xf>
    <xf numFmtId="0" fontId="1" fillId="0" borderId="79" xfId="32" applyFont="1" applyBorder="1" applyProtection="1">
      <protection locked="0"/>
    </xf>
    <xf numFmtId="0" fontId="1" fillId="0" borderId="23" xfId="32" applyFont="1" applyBorder="1" applyAlignment="1" applyProtection="1">
      <alignment horizontal="center"/>
      <protection locked="0"/>
    </xf>
    <xf numFmtId="2" fontId="1" fillId="0" borderId="23" xfId="32" applyNumberFormat="1" applyFont="1" applyBorder="1" applyAlignment="1" applyProtection="1">
      <alignment horizontal="center"/>
      <protection locked="0"/>
    </xf>
    <xf numFmtId="0" fontId="20" fillId="0" borderId="19" xfId="32" applyFont="1" applyBorder="1" applyProtection="1">
      <protection locked="0"/>
    </xf>
    <xf numFmtId="0" fontId="101" fillId="0" borderId="38" xfId="32" applyFont="1" applyBorder="1" applyProtection="1">
      <protection locked="0"/>
    </xf>
    <xf numFmtId="0" fontId="19" fillId="0" borderId="40" xfId="32" applyFont="1" applyBorder="1" applyProtection="1">
      <protection locked="0"/>
    </xf>
    <xf numFmtId="0" fontId="19" fillId="0" borderId="19" xfId="32" applyFont="1" applyBorder="1" applyAlignment="1" applyProtection="1">
      <alignment horizontal="center"/>
      <protection locked="0"/>
    </xf>
    <xf numFmtId="3" fontId="19" fillId="0" borderId="19" xfId="33" applyFont="1" applyBorder="1" applyAlignment="1" applyProtection="1">
      <alignment horizontal="center"/>
      <protection locked="0"/>
    </xf>
    <xf numFmtId="4" fontId="19" fillId="0" borderId="19" xfId="34" applyFont="1" applyBorder="1" applyAlignment="1" applyProtection="1">
      <alignment horizontal="center"/>
      <protection locked="0"/>
    </xf>
    <xf numFmtId="0" fontId="20" fillId="0" borderId="38" xfId="32" applyFont="1" applyBorder="1" applyProtection="1">
      <protection locked="0"/>
    </xf>
    <xf numFmtId="0" fontId="19" fillId="0" borderId="38" xfId="32" applyFont="1" applyBorder="1" applyProtection="1">
      <protection locked="0"/>
    </xf>
    <xf numFmtId="2" fontId="19" fillId="0" borderId="19" xfId="33" applyNumberFormat="1" applyFont="1" applyBorder="1" applyAlignment="1" applyProtection="1">
      <alignment horizontal="center"/>
      <protection locked="0"/>
    </xf>
    <xf numFmtId="2" fontId="19" fillId="0" borderId="19" xfId="32" applyNumberFormat="1" applyFont="1" applyBorder="1" applyAlignment="1" applyProtection="1">
      <alignment horizontal="center"/>
      <protection locked="0"/>
    </xf>
    <xf numFmtId="4" fontId="19" fillId="0" borderId="19" xfId="33" applyNumberFormat="1" applyFont="1" applyBorder="1" applyAlignment="1" applyProtection="1">
      <alignment horizontal="center"/>
      <protection locked="0"/>
    </xf>
    <xf numFmtId="0" fontId="107" fillId="0" borderId="38" xfId="32" applyFont="1" applyBorder="1" applyProtection="1">
      <protection locked="0"/>
    </xf>
    <xf numFmtId="0" fontId="107" fillId="0" borderId="40" xfId="32" applyFont="1" applyBorder="1" applyProtection="1">
      <protection locked="0"/>
    </xf>
    <xf numFmtId="0" fontId="21" fillId="0" borderId="19" xfId="32" applyFont="1" applyBorder="1" applyProtection="1">
      <protection locked="0"/>
    </xf>
    <xf numFmtId="0" fontId="21" fillId="0" borderId="38" xfId="32" applyFont="1" applyBorder="1" applyProtection="1">
      <protection locked="0"/>
    </xf>
    <xf numFmtId="0" fontId="1" fillId="0" borderId="40" xfId="32" applyFont="1" applyBorder="1" applyProtection="1">
      <protection locked="0"/>
    </xf>
    <xf numFmtId="0" fontId="1" fillId="0" borderId="19" xfId="32" applyFont="1" applyBorder="1" applyAlignment="1" applyProtection="1">
      <alignment horizontal="center"/>
      <protection locked="0"/>
    </xf>
    <xf numFmtId="3" fontId="1" fillId="0" borderId="19" xfId="33" applyBorder="1" applyAlignment="1" applyProtection="1">
      <alignment horizontal="center"/>
      <protection locked="0"/>
    </xf>
    <xf numFmtId="4" fontId="1" fillId="0" borderId="19" xfId="34" applyBorder="1" applyAlignment="1" applyProtection="1">
      <alignment horizontal="center"/>
      <protection locked="0"/>
    </xf>
    <xf numFmtId="0" fontId="21" fillId="0" borderId="24" xfId="32" applyFont="1" applyBorder="1" applyProtection="1">
      <protection locked="0"/>
    </xf>
    <xf numFmtId="0" fontId="21" fillId="0" borderId="42" xfId="32" applyFont="1" applyBorder="1" applyProtection="1">
      <protection locked="0"/>
    </xf>
    <xf numFmtId="0" fontId="21" fillId="0" borderId="36" xfId="32" applyFont="1" applyBorder="1" applyProtection="1">
      <protection locked="0"/>
    </xf>
    <xf numFmtId="0" fontId="1" fillId="0" borderId="53" xfId="32" applyFont="1" applyBorder="1" applyProtection="1">
      <protection locked="0"/>
    </xf>
    <xf numFmtId="0" fontId="1" fillId="0" borderId="24" xfId="32" applyFont="1" applyBorder="1" applyAlignment="1" applyProtection="1">
      <alignment horizontal="center"/>
      <protection locked="0"/>
    </xf>
    <xf numFmtId="2" fontId="1" fillId="0" borderId="24" xfId="32" applyNumberFormat="1" applyFont="1" applyBorder="1" applyAlignment="1" applyProtection="1">
      <alignment horizontal="center"/>
      <protection locked="0"/>
    </xf>
    <xf numFmtId="0" fontId="21" fillId="0" borderId="17" xfId="32" applyFont="1" applyBorder="1" applyProtection="1">
      <protection locked="0"/>
    </xf>
    <xf numFmtId="0" fontId="21" fillId="0" borderId="55" xfId="32" applyFont="1" applyBorder="1" applyProtection="1">
      <protection locked="0"/>
    </xf>
    <xf numFmtId="0" fontId="21" fillId="0" borderId="81" xfId="32" applyFont="1" applyBorder="1" applyProtection="1">
      <protection locked="0"/>
    </xf>
    <xf numFmtId="0" fontId="1" fillId="0" borderId="81" xfId="32" applyFont="1" applyBorder="1" applyProtection="1">
      <protection locked="0"/>
    </xf>
    <xf numFmtId="0" fontId="1" fillId="0" borderId="81" xfId="32" applyFont="1" applyBorder="1" applyAlignment="1" applyProtection="1">
      <alignment horizontal="center"/>
      <protection locked="0"/>
    </xf>
    <xf numFmtId="2" fontId="1" fillId="0" borderId="81" xfId="32" applyNumberFormat="1" applyFont="1" applyBorder="1" applyAlignment="1" applyProtection="1">
      <alignment horizontal="center"/>
      <protection locked="0"/>
    </xf>
    <xf numFmtId="2" fontId="1" fillId="0" borderId="56" xfId="32" applyNumberFormat="1" applyFont="1" applyBorder="1" applyAlignment="1" applyProtection="1">
      <alignment horizontal="center"/>
      <protection locked="0"/>
    </xf>
    <xf numFmtId="44" fontId="21" fillId="0" borderId="17" xfId="33" applyNumberFormat="1" applyFont="1" applyBorder="1" applyAlignment="1" applyProtection="1">
      <alignment horizontal="center"/>
    </xf>
    <xf numFmtId="4" fontId="21" fillId="0" borderId="0" xfId="29" applyFont="1"/>
    <xf numFmtId="4" fontId="1" fillId="0" borderId="0" xfId="29"/>
    <xf numFmtId="4" fontId="21" fillId="21" borderId="17" xfId="29" applyFont="1" applyFill="1" applyBorder="1"/>
    <xf numFmtId="44" fontId="1" fillId="0" borderId="19" xfId="29" applyNumberFormat="1" applyBorder="1"/>
    <xf numFmtId="44" fontId="1" fillId="0" borderId="19" xfId="29" applyNumberFormat="1" applyBorder="1" applyAlignment="1">
      <alignment horizontal="left"/>
    </xf>
    <xf numFmtId="44" fontId="1" fillId="0" borderId="19" xfId="26" applyNumberFormat="1" applyBorder="1" applyAlignment="1">
      <alignment horizontal="center"/>
    </xf>
    <xf numFmtId="44" fontId="1" fillId="0" borderId="19" xfId="29" applyNumberFormat="1" applyBorder="1" applyAlignment="1">
      <alignment horizontal="center"/>
    </xf>
    <xf numFmtId="4" fontId="1" fillId="0" borderId="19" xfId="26" applyBorder="1" applyAlignment="1">
      <alignment horizontal="center"/>
    </xf>
    <xf numFmtId="4" fontId="1" fillId="0" borderId="19" xfId="26" applyBorder="1"/>
    <xf numFmtId="165" fontId="1" fillId="0" borderId="19" xfId="26" applyNumberFormat="1" applyBorder="1" applyAlignment="1">
      <alignment horizontal="center"/>
    </xf>
    <xf numFmtId="2" fontId="21" fillId="0" borderId="17" xfId="29" applyNumberFormat="1" applyFont="1" applyBorder="1"/>
    <xf numFmtId="4" fontId="1" fillId="0" borderId="17" xfId="29" applyBorder="1" applyAlignment="1">
      <alignment horizontal="center"/>
    </xf>
    <xf numFmtId="44" fontId="21" fillId="0" borderId="17" xfId="29" applyNumberFormat="1" applyFont="1" applyBorder="1" applyAlignment="1">
      <alignment horizontal="center"/>
    </xf>
    <xf numFmtId="3" fontId="21" fillId="0" borderId="0" xfId="29" applyNumberFormat="1" applyFont="1" applyAlignment="1">
      <alignment horizontal="center"/>
    </xf>
    <xf numFmtId="4" fontId="1" fillId="0" borderId="19" xfId="29" applyNumberFormat="1" applyBorder="1" applyAlignment="1">
      <alignment horizontal="center"/>
    </xf>
    <xf numFmtId="4" fontId="21" fillId="0" borderId="17" xfId="29" applyFont="1" applyBorder="1" applyAlignment="1">
      <alignment horizontal="center"/>
    </xf>
    <xf numFmtId="4" fontId="21" fillId="0" borderId="17" xfId="29" applyNumberFormat="1" applyFont="1" applyBorder="1"/>
    <xf numFmtId="4" fontId="1" fillId="0" borderId="0" xfId="29" applyAlignment="1">
      <alignment horizontal="center"/>
    </xf>
    <xf numFmtId="49" fontId="21" fillId="0" borderId="0" xfId="24" applyNumberFormat="1" applyFont="1" applyAlignment="1">
      <alignment horizontal="left" vertical="top"/>
    </xf>
    <xf numFmtId="0" fontId="21" fillId="0" borderId="0" xfId="24" applyFont="1" applyAlignment="1">
      <alignment horizontal="left" vertical="top"/>
    </xf>
    <xf numFmtId="0" fontId="21" fillId="0" borderId="0" xfId="24" applyFont="1" applyAlignment="1">
      <alignment horizontal="center" vertical="top"/>
    </xf>
    <xf numFmtId="0" fontId="21" fillId="0" borderId="0" xfId="24" applyFont="1" applyAlignment="1">
      <alignment horizontal="right" vertical="top"/>
    </xf>
    <xf numFmtId="49" fontId="20" fillId="0" borderId="17" xfId="24" applyNumberFormat="1" applyFont="1" applyBorder="1" applyAlignment="1">
      <alignment horizontal="center" vertical="center" wrapText="1"/>
    </xf>
    <xf numFmtId="0" fontId="20" fillId="0" borderId="17" xfId="24" applyFont="1" applyBorder="1" applyAlignment="1">
      <alignment horizontal="center" vertical="center" wrapText="1"/>
    </xf>
    <xf numFmtId="49" fontId="19" fillId="0" borderId="23" xfId="24" applyNumberFormat="1" applyFont="1" applyBorder="1" applyAlignment="1">
      <alignment horizontal="left" vertical="top" wrapText="1"/>
    </xf>
    <xf numFmtId="0" fontId="19" fillId="0" borderId="71" xfId="24" applyFont="1" applyBorder="1" applyAlignment="1">
      <alignment horizontal="left" vertical="top" wrapText="1"/>
    </xf>
    <xf numFmtId="0" fontId="19" fillId="0" borderId="23" xfId="24" applyFont="1" applyBorder="1" applyAlignment="1">
      <alignment horizontal="center" wrapText="1"/>
    </xf>
    <xf numFmtId="0" fontId="19" fillId="0" borderId="23" xfId="24" applyFont="1" applyBorder="1" applyAlignment="1">
      <alignment wrapText="1"/>
    </xf>
    <xf numFmtId="0" fontId="19" fillId="0" borderId="23" xfId="24" applyFont="1" applyBorder="1" applyAlignment="1">
      <alignment horizontal="right" wrapText="1"/>
    </xf>
    <xf numFmtId="0" fontId="99" fillId="0" borderId="2" xfId="1" applyFont="1" applyBorder="1" applyAlignment="1">
      <alignment horizontal="center"/>
    </xf>
    <xf numFmtId="0" fontId="108" fillId="0" borderId="38" xfId="1" applyFont="1" applyBorder="1" applyAlignment="1">
      <alignment horizontal="left"/>
    </xf>
    <xf numFmtId="0" fontId="108" fillId="0" borderId="19" xfId="1" applyFont="1" applyBorder="1" applyAlignment="1">
      <alignment horizontal="left"/>
    </xf>
    <xf numFmtId="0" fontId="19" fillId="0" borderId="19" xfId="24" applyFont="1" applyBorder="1" applyAlignment="1">
      <alignment horizontal="center" wrapText="1"/>
    </xf>
    <xf numFmtId="0" fontId="19" fillId="0" borderId="19" xfId="24" applyFont="1" applyBorder="1" applyAlignment="1">
      <alignment wrapText="1"/>
    </xf>
    <xf numFmtId="0" fontId="19" fillId="0" borderId="19" xfId="24" applyFont="1" applyBorder="1" applyAlignment="1">
      <alignment horizontal="right" wrapText="1"/>
    </xf>
    <xf numFmtId="0" fontId="100" fillId="0" borderId="2" xfId="1" applyFont="1" applyBorder="1" applyAlignment="1">
      <alignment horizontal="center"/>
    </xf>
    <xf numFmtId="0" fontId="100" fillId="0" borderId="38" xfId="1" applyFont="1" applyBorder="1" applyAlignment="1">
      <alignment horizontal="center"/>
    </xf>
    <xf numFmtId="0" fontId="99" fillId="0" borderId="38" xfId="1" applyFont="1" applyBorder="1" applyAlignment="1">
      <alignment horizontal="left"/>
    </xf>
    <xf numFmtId="0" fontId="99" fillId="0" borderId="19" xfId="1" applyFont="1" applyBorder="1" applyAlignment="1">
      <alignment horizontal="left"/>
    </xf>
    <xf numFmtId="0" fontId="99" fillId="0" borderId="38" xfId="1" applyFont="1" applyBorder="1" applyAlignment="1">
      <alignment horizontal="center" wrapText="1"/>
    </xf>
    <xf numFmtId="0" fontId="99" fillId="0" borderId="19" xfId="1" applyFont="1" applyBorder="1" applyAlignment="1">
      <alignment horizontal="left" wrapText="1"/>
    </xf>
    <xf numFmtId="2" fontId="100" fillId="0" borderId="38" xfId="1" applyNumberFormat="1" applyFont="1" applyBorder="1" applyAlignment="1">
      <alignment wrapText="1"/>
    </xf>
    <xf numFmtId="2" fontId="100" fillId="0" borderId="19" xfId="1" applyNumberFormat="1" applyFont="1" applyBorder="1" applyAlignment="1">
      <alignment wrapText="1"/>
    </xf>
    <xf numFmtId="0" fontId="1" fillId="0" borderId="19" xfId="24" applyBorder="1" applyAlignment="1">
      <alignment horizontal="center" vertical="top"/>
    </xf>
    <xf numFmtId="0" fontId="1" fillId="0" borderId="19" xfId="24" applyBorder="1"/>
    <xf numFmtId="2" fontId="100" fillId="0" borderId="38" xfId="1" applyNumberFormat="1" applyFont="1" applyBorder="1" applyAlignment="1">
      <alignment horizontal="center"/>
    </xf>
    <xf numFmtId="4" fontId="100" fillId="0" borderId="38" xfId="29" applyFont="1" applyBorder="1" applyAlignment="1">
      <alignment horizontal="center"/>
    </xf>
    <xf numFmtId="2" fontId="100" fillId="0" borderId="19" xfId="1" applyNumberFormat="1" applyFont="1" applyFill="1" applyBorder="1"/>
    <xf numFmtId="44" fontId="19" fillId="0" borderId="19" xfId="24" applyNumberFormat="1" applyFont="1" applyBorder="1" applyAlignment="1">
      <alignment horizontal="center" wrapText="1"/>
    </xf>
    <xf numFmtId="44" fontId="1" fillId="0" borderId="0" xfId="24" applyNumberFormat="1"/>
    <xf numFmtId="2" fontId="100" fillId="0" borderId="19" xfId="1" applyNumberFormat="1" applyFont="1" applyBorder="1"/>
    <xf numFmtId="0" fontId="100" fillId="0" borderId="38" xfId="1" applyFont="1" applyBorder="1" applyAlignment="1">
      <alignment horizontal="center" wrapText="1"/>
    </xf>
    <xf numFmtId="0" fontId="99" fillId="0" borderId="2" xfId="1" applyFont="1" applyBorder="1" applyAlignment="1">
      <alignment horizontal="center" vertical="center"/>
    </xf>
    <xf numFmtId="0" fontId="99" fillId="0" borderId="38" xfId="1" applyFont="1" applyBorder="1" applyAlignment="1">
      <alignment horizontal="left" wrapText="1"/>
    </xf>
    <xf numFmtId="49" fontId="1" fillId="0" borderId="19" xfId="24" applyNumberFormat="1" applyBorder="1" applyAlignment="1">
      <alignment horizontal="left" vertical="top"/>
    </xf>
    <xf numFmtId="0" fontId="100" fillId="0" borderId="38" xfId="1" applyFont="1" applyBorder="1" applyAlignment="1">
      <alignment wrapText="1"/>
    </xf>
    <xf numFmtId="4" fontId="100" fillId="0" borderId="19" xfId="29" applyFont="1" applyBorder="1" applyAlignment="1">
      <alignment horizontal="center"/>
    </xf>
    <xf numFmtId="0" fontId="100" fillId="0" borderId="19" xfId="1" applyFont="1" applyBorder="1" applyAlignment="1">
      <alignment wrapText="1"/>
    </xf>
    <xf numFmtId="0" fontId="1" fillId="0" borderId="19" xfId="24" applyBorder="1" applyAlignment="1">
      <alignment horizontal="center" vertical="center"/>
    </xf>
    <xf numFmtId="0" fontId="19" fillId="0" borderId="38" xfId="24" applyFont="1" applyBorder="1" applyAlignment="1">
      <alignment horizontal="left" vertical="top" wrapText="1"/>
    </xf>
    <xf numFmtId="0" fontId="19" fillId="0" borderId="19" xfId="24" applyFont="1" applyBorder="1" applyAlignment="1">
      <alignment horizontal="center" vertical="center" wrapText="1"/>
    </xf>
    <xf numFmtId="44" fontId="19" fillId="0" borderId="19" xfId="30" applyNumberFormat="1" applyFont="1" applyBorder="1" applyAlignment="1">
      <alignment horizontal="center" wrapText="1"/>
    </xf>
    <xf numFmtId="0" fontId="19" fillId="0" borderId="38" xfId="24" applyFont="1" applyBorder="1" applyAlignment="1">
      <alignment vertical="top" wrapText="1"/>
    </xf>
    <xf numFmtId="44" fontId="19" fillId="0" borderId="19" xfId="30" applyNumberFormat="1" applyFont="1" applyBorder="1" applyAlignment="1">
      <alignment horizontal="center" vertical="center" wrapText="1"/>
    </xf>
    <xf numFmtId="44" fontId="19" fillId="0" borderId="19" xfId="24" applyNumberFormat="1" applyFont="1" applyBorder="1" applyAlignment="1">
      <alignment horizontal="center" vertical="center" wrapText="1"/>
    </xf>
    <xf numFmtId="0" fontId="1" fillId="0" borderId="38" xfId="24" applyBorder="1" applyAlignment="1">
      <alignment vertical="top" wrapText="1"/>
    </xf>
    <xf numFmtId="0" fontId="1" fillId="0" borderId="19" xfId="24" applyBorder="1" applyAlignment="1">
      <alignment horizontal="left" vertical="top"/>
    </xf>
    <xf numFmtId="49" fontId="21" fillId="0" borderId="19" xfId="24" applyNumberFormat="1" applyFont="1" applyBorder="1" applyAlignment="1">
      <alignment horizontal="left" vertical="top"/>
    </xf>
    <xf numFmtId="0" fontId="1" fillId="0" borderId="19" xfId="24" applyBorder="1" applyAlignment="1">
      <alignment vertical="center"/>
    </xf>
    <xf numFmtId="168" fontId="19" fillId="0" borderId="19" xfId="24" applyNumberFormat="1" applyFont="1" applyBorder="1" applyAlignment="1">
      <alignment horizontal="right" wrapText="1"/>
    </xf>
    <xf numFmtId="49" fontId="19" fillId="0" borderId="19" xfId="24" applyNumberFormat="1" applyFont="1" applyBorder="1" applyAlignment="1">
      <alignment horizontal="left" vertical="top" wrapText="1"/>
    </xf>
    <xf numFmtId="0" fontId="19" fillId="0" borderId="19" xfId="24" applyFont="1" applyBorder="1" applyAlignment="1">
      <alignment horizontal="left" vertical="top" wrapText="1"/>
    </xf>
    <xf numFmtId="49" fontId="19" fillId="0" borderId="24" xfId="24" applyNumberFormat="1" applyFont="1" applyBorder="1" applyAlignment="1">
      <alignment horizontal="left" vertical="top" wrapText="1"/>
    </xf>
    <xf numFmtId="0" fontId="19" fillId="0" borderId="24" xfId="24" applyFont="1" applyBorder="1" applyAlignment="1">
      <alignment horizontal="left" vertical="top" wrapText="1"/>
    </xf>
    <xf numFmtId="0" fontId="19" fillId="0" borderId="24" xfId="24" applyFont="1" applyBorder="1" applyAlignment="1">
      <alignment horizontal="center" wrapText="1"/>
    </xf>
    <xf numFmtId="168" fontId="19" fillId="0" borderId="24" xfId="24" applyNumberFormat="1" applyFont="1" applyBorder="1" applyAlignment="1">
      <alignment horizontal="right" wrapText="1"/>
    </xf>
    <xf numFmtId="49" fontId="19" fillId="0" borderId="55" xfId="24" applyNumberFormat="1" applyFont="1" applyBorder="1" applyAlignment="1">
      <alignment vertical="center"/>
    </xf>
    <xf numFmtId="49" fontId="20" fillId="0" borderId="81" xfId="24" applyNumberFormat="1" applyFont="1" applyBorder="1" applyAlignment="1">
      <alignment vertical="center"/>
    </xf>
    <xf numFmtId="49" fontId="20" fillId="0" borderId="81" xfId="24" applyNumberFormat="1" applyFont="1" applyBorder="1" applyAlignment="1">
      <alignment horizontal="center" vertical="center"/>
    </xf>
    <xf numFmtId="168" fontId="20" fillId="0" borderId="56" xfId="24" applyNumberFormat="1" applyFont="1" applyBorder="1" applyAlignment="1">
      <alignment vertical="center"/>
    </xf>
    <xf numFmtId="168" fontId="20" fillId="0" borderId="17" xfId="24" applyNumberFormat="1" applyFont="1" applyBorder="1" applyAlignment="1">
      <alignment vertical="center"/>
    </xf>
    <xf numFmtId="44" fontId="21" fillId="0" borderId="0" xfId="29" applyNumberFormat="1" applyFont="1" applyBorder="1"/>
    <xf numFmtId="170" fontId="110" fillId="0" borderId="0" xfId="24" applyNumberFormat="1" applyFont="1" applyBorder="1"/>
    <xf numFmtId="4" fontId="21" fillId="0" borderId="36" xfId="29" applyFont="1" applyBorder="1"/>
    <xf numFmtId="4" fontId="21" fillId="24" borderId="17" xfId="29" applyFont="1" applyFill="1" applyBorder="1"/>
    <xf numFmtId="10" fontId="1" fillId="0" borderId="0" xfId="35"/>
    <xf numFmtId="4" fontId="1" fillId="0" borderId="19" xfId="29" applyFont="1" applyBorder="1"/>
    <xf numFmtId="0" fontId="19" fillId="11" borderId="0" xfId="1" applyFont="1" applyFill="1"/>
    <xf numFmtId="0" fontId="19" fillId="11" borderId="0" xfId="1" applyFont="1" applyFill="1" applyAlignment="1">
      <alignment wrapText="1"/>
    </xf>
    <xf numFmtId="2" fontId="19" fillId="11" borderId="0" xfId="1" applyNumberFormat="1" applyFont="1" applyFill="1"/>
    <xf numFmtId="0" fontId="19" fillId="11" borderId="0" xfId="1" applyFont="1" applyFill="1" applyAlignment="1">
      <alignment horizontal="center"/>
    </xf>
    <xf numFmtId="4" fontId="20" fillId="0" borderId="0" xfId="24" applyNumberFormat="1" applyFont="1"/>
    <xf numFmtId="167" fontId="20" fillId="0" borderId="0" xfId="24" applyNumberFormat="1" applyFont="1" applyAlignment="1">
      <alignment horizontal="center"/>
    </xf>
    <xf numFmtId="0" fontId="19" fillId="0" borderId="8" xfId="24" applyFont="1" applyBorder="1" applyAlignment="1">
      <alignment horizontal="center" vertical="center"/>
    </xf>
    <xf numFmtId="0" fontId="20" fillId="0" borderId="3" xfId="24" applyFont="1" applyBorder="1" applyAlignment="1">
      <alignment vertical="center"/>
    </xf>
    <xf numFmtId="167" fontId="20" fillId="0" borderId="16" xfId="24" applyNumberFormat="1" applyFont="1" applyBorder="1" applyAlignment="1">
      <alignment horizontal="center" vertical="center"/>
    </xf>
    <xf numFmtId="0" fontId="19" fillId="0" borderId="173" xfId="24" applyFont="1" applyBorder="1" applyAlignment="1">
      <alignment horizontal="center" vertical="center"/>
    </xf>
    <xf numFmtId="165" fontId="20" fillId="0" borderId="80" xfId="24" applyNumberFormat="1" applyFont="1" applyBorder="1" applyAlignment="1">
      <alignment horizontal="right" vertical="center"/>
    </xf>
    <xf numFmtId="0" fontId="19" fillId="0" borderId="174" xfId="24" applyFont="1" applyBorder="1" applyAlignment="1">
      <alignment horizontal="center" vertical="center"/>
    </xf>
    <xf numFmtId="165" fontId="19" fillId="0" borderId="176" xfId="24" applyNumberFormat="1" applyFont="1" applyBorder="1" applyAlignment="1">
      <alignment horizontal="right" vertical="center"/>
    </xf>
    <xf numFmtId="0" fontId="19" fillId="0" borderId="177" xfId="24" applyFont="1" applyBorder="1" applyAlignment="1">
      <alignment vertical="center"/>
    </xf>
    <xf numFmtId="0" fontId="19" fillId="0" borderId="175" xfId="24" applyFont="1" applyBorder="1" applyAlignment="1">
      <alignment vertical="center" wrapText="1"/>
    </xf>
    <xf numFmtId="0" fontId="94" fillId="0" borderId="64" xfId="36" applyFont="1" applyBorder="1" applyAlignment="1">
      <alignment horizontal="center" vertical="center"/>
    </xf>
    <xf numFmtId="0" fontId="19" fillId="0" borderId="175" xfId="25" applyFont="1" applyFill="1" applyBorder="1" applyAlignment="1" applyProtection="1">
      <alignment vertical="center"/>
      <protection locked="0"/>
    </xf>
    <xf numFmtId="165" fontId="19" fillId="0" borderId="176" xfId="24" applyNumberFormat="1" applyFont="1" applyFill="1" applyBorder="1" applyAlignment="1">
      <alignment horizontal="right" vertical="center"/>
    </xf>
    <xf numFmtId="0" fontId="19" fillId="0" borderId="175" xfId="25" applyFont="1" applyFill="1" applyBorder="1" applyAlignment="1">
      <alignment vertical="center"/>
    </xf>
    <xf numFmtId="0" fontId="19" fillId="0" borderId="177" xfId="24" applyFont="1" applyFill="1" applyBorder="1" applyAlignment="1">
      <alignment vertical="center"/>
    </xf>
    <xf numFmtId="0" fontId="19" fillId="11" borderId="175" xfId="25" applyFont="1" applyBorder="1" applyAlignment="1">
      <alignment vertical="center"/>
    </xf>
    <xf numFmtId="0" fontId="19" fillId="11" borderId="175" xfId="25" applyFont="1" applyBorder="1" applyAlignment="1">
      <alignment vertical="center" wrapText="1"/>
    </xf>
    <xf numFmtId="165" fontId="19" fillId="0" borderId="178" xfId="24" applyNumberFormat="1" applyFont="1" applyFill="1" applyBorder="1" applyAlignment="1">
      <alignment horizontal="right" vertical="center"/>
    </xf>
    <xf numFmtId="0" fontId="19" fillId="0" borderId="179" xfId="24" applyFont="1" applyBorder="1" applyAlignment="1">
      <alignment horizontal="center" vertical="center"/>
    </xf>
    <xf numFmtId="0" fontId="19" fillId="11" borderId="180" xfId="25" applyFont="1" applyBorder="1" applyAlignment="1">
      <alignment vertical="center"/>
    </xf>
    <xf numFmtId="0" fontId="19" fillId="0" borderId="117" xfId="24" applyFont="1" applyBorder="1" applyAlignment="1">
      <alignment horizontal="center" vertical="center"/>
    </xf>
    <xf numFmtId="0" fontId="20" fillId="11" borderId="181" xfId="25" applyFont="1" applyBorder="1" applyAlignment="1">
      <alignment horizontal="left" vertical="center"/>
    </xf>
    <xf numFmtId="165" fontId="20" fillId="0" borderId="182" xfId="24" applyNumberFormat="1" applyFont="1" applyFill="1" applyBorder="1" applyAlignment="1">
      <alignment horizontal="right" vertical="center"/>
    </xf>
    <xf numFmtId="4" fontId="1" fillId="0" borderId="0" xfId="29" applyFill="1"/>
    <xf numFmtId="4" fontId="20" fillId="0" borderId="0" xfId="24" applyNumberFormat="1" applyFont="1" applyAlignment="1">
      <alignment horizontal="left"/>
    </xf>
    <xf numFmtId="4" fontId="21" fillId="0" borderId="0" xfId="24" applyNumberFormat="1" applyFont="1" applyAlignment="1">
      <alignment horizontal="left"/>
    </xf>
    <xf numFmtId="4" fontId="21" fillId="0" borderId="0" xfId="1" applyNumberFormat="1" applyFont="1" applyAlignment="1">
      <alignment horizontal="left"/>
    </xf>
    <xf numFmtId="4" fontId="20" fillId="0" borderId="0" xfId="1" applyNumberFormat="1" applyFont="1" applyAlignment="1">
      <alignment horizontal="left" vertical="center"/>
    </xf>
    <xf numFmtId="49" fontId="21" fillId="0" borderId="3" xfId="24" applyNumberFormat="1" applyFont="1" applyBorder="1" applyAlignment="1">
      <alignment wrapText="1"/>
    </xf>
    <xf numFmtId="4" fontId="21" fillId="0" borderId="0" xfId="24" applyNumberFormat="1" applyFont="1"/>
    <xf numFmtId="0" fontId="103" fillId="0" borderId="0" xfId="1" applyFont="1" applyBorder="1"/>
    <xf numFmtId="0" fontId="103" fillId="0" borderId="19" xfId="1" applyFont="1" applyBorder="1"/>
    <xf numFmtId="4" fontId="21" fillId="0" borderId="0" xfId="1" applyNumberFormat="1" applyFont="1"/>
    <xf numFmtId="49" fontId="21" fillId="0" borderId="0" xfId="24" applyNumberFormat="1" applyFont="1" applyAlignment="1">
      <alignment wrapText="1"/>
    </xf>
    <xf numFmtId="0" fontId="3" fillId="0" borderId="15" xfId="4" applyFont="1" applyBorder="1"/>
    <xf numFmtId="0" fontId="2" fillId="0" borderId="2" xfId="4" applyFont="1" applyBorder="1" applyAlignment="1">
      <alignment horizontal="center"/>
    </xf>
    <xf numFmtId="0" fontId="2" fillId="0" borderId="0" xfId="4" applyFont="1" applyBorder="1" applyAlignment="1">
      <alignment horizontal="center"/>
    </xf>
    <xf numFmtId="0" fontId="3" fillId="0" borderId="2" xfId="4" applyFont="1" applyBorder="1"/>
    <xf numFmtId="0" fontId="3" fillId="0" borderId="0" xfId="4" applyFont="1" applyBorder="1"/>
    <xf numFmtId="0" fontId="3" fillId="0" borderId="0" xfId="4" applyFont="1" applyBorder="1" applyAlignment="1">
      <alignment horizontal="left"/>
    </xf>
    <xf numFmtId="0" fontId="3" fillId="0" borderId="2" xfId="4" applyFont="1" applyBorder="1" applyAlignment="1">
      <alignment horizontal="left"/>
    </xf>
    <xf numFmtId="0" fontId="4" fillId="0" borderId="2" xfId="4" applyFont="1" applyBorder="1" applyAlignment="1">
      <alignment horizontal="left"/>
    </xf>
    <xf numFmtId="0" fontId="3" fillId="0" borderId="8" xfId="4" applyFont="1" applyBorder="1" applyAlignment="1">
      <alignment horizontal="left"/>
    </xf>
    <xf numFmtId="0" fontId="3" fillId="0" borderId="3" xfId="4" applyFont="1" applyBorder="1" applyAlignment="1">
      <alignment horizontal="left"/>
    </xf>
    <xf numFmtId="0" fontId="3" fillId="0" borderId="3" xfId="4" applyFont="1" applyBorder="1"/>
    <xf numFmtId="168" fontId="25" fillId="0" borderId="108" xfId="1" applyNumberFormat="1" applyFont="1" applyBorder="1"/>
    <xf numFmtId="0" fontId="1" fillId="0" borderId="109" xfId="1" applyBorder="1"/>
    <xf numFmtId="168" fontId="1" fillId="0" borderId="108" xfId="1" applyNumberFormat="1" applyBorder="1"/>
    <xf numFmtId="168" fontId="25" fillId="0" borderId="113" xfId="1" applyNumberFormat="1" applyFont="1" applyBorder="1"/>
    <xf numFmtId="0" fontId="1" fillId="0" borderId="114" xfId="1" applyBorder="1"/>
    <xf numFmtId="168" fontId="1" fillId="0" borderId="113" xfId="1" applyNumberFormat="1" applyBorder="1"/>
    <xf numFmtId="168" fontId="59" fillId="0" borderId="0" xfId="1" applyNumberFormat="1" applyFont="1"/>
    <xf numFmtId="0" fontId="1" fillId="0" borderId="0" xfId="1"/>
    <xf numFmtId="168" fontId="34" fillId="0" borderId="103" xfId="1" applyNumberFormat="1" applyFont="1" applyBorder="1"/>
    <xf numFmtId="0" fontId="1" fillId="0" borderId="104" xfId="1" applyBorder="1"/>
    <xf numFmtId="168" fontId="1" fillId="0" borderId="103" xfId="1" applyNumberFormat="1" applyBorder="1"/>
    <xf numFmtId="0" fontId="21" fillId="0" borderId="100" xfId="1" applyFont="1" applyBorder="1" applyAlignment="1">
      <alignment horizontal="center"/>
    </xf>
    <xf numFmtId="0" fontId="1" fillId="0" borderId="101" xfId="1" applyBorder="1"/>
    <xf numFmtId="168" fontId="1" fillId="0" borderId="0" xfId="1" applyNumberFormat="1"/>
    <xf numFmtId="0" fontId="35" fillId="0" borderId="61" xfId="1" applyFont="1" applyBorder="1" applyAlignment="1" applyProtection="1">
      <alignment horizontal="center" vertical="center"/>
      <protection locked="0"/>
    </xf>
    <xf numFmtId="0" fontId="22" fillId="0" borderId="0" xfId="1" applyFont="1" applyAlignment="1">
      <alignment horizontal="center" vertical="center"/>
    </xf>
    <xf numFmtId="0" fontId="22" fillId="0" borderId="0" xfId="1" applyFont="1" applyAlignment="1">
      <alignment horizontal="center" vertical="justify"/>
    </xf>
    <xf numFmtId="0" fontId="1" fillId="0" borderId="0" xfId="1" applyAlignment="1">
      <alignment horizontal="center" vertical="justify"/>
    </xf>
    <xf numFmtId="0" fontId="25" fillId="0" borderId="0" xfId="1" applyFont="1" applyAlignment="1">
      <alignment horizontal="center" vertical="center"/>
    </xf>
    <xf numFmtId="0" fontId="26" fillId="0" borderId="0" xfId="1" applyFont="1" applyAlignment="1">
      <alignment horizontal="center"/>
    </xf>
    <xf numFmtId="0" fontId="1" fillId="0" borderId="0" xfId="1" applyAlignment="1">
      <alignment horizontal="center"/>
    </xf>
    <xf numFmtId="171" fontId="34" fillId="0" borderId="57" xfId="1" applyNumberFormat="1" applyFont="1" applyBorder="1" applyAlignment="1" applyProtection="1">
      <alignment horizontal="center"/>
      <protection locked="0"/>
    </xf>
    <xf numFmtId="171" fontId="34" fillId="0" borderId="35" xfId="1" applyNumberFormat="1" applyFont="1" applyBorder="1" applyAlignment="1" applyProtection="1">
      <alignment horizontal="center"/>
      <protection locked="0"/>
    </xf>
    <xf numFmtId="171" fontId="34" fillId="0" borderId="38" xfId="1" applyNumberFormat="1" applyFont="1" applyBorder="1" applyAlignment="1" applyProtection="1">
      <alignment horizontal="center"/>
      <protection locked="0"/>
    </xf>
    <xf numFmtId="171" fontId="34" fillId="0" borderId="0" xfId="1" applyNumberFormat="1" applyFont="1" applyAlignment="1" applyProtection="1">
      <alignment horizontal="center"/>
      <protection locked="0"/>
    </xf>
    <xf numFmtId="0" fontId="36" fillId="0" borderId="2" xfId="1" applyFont="1" applyBorder="1" applyAlignment="1" applyProtection="1">
      <alignment vertical="center"/>
      <protection locked="0"/>
    </xf>
    <xf numFmtId="0" fontId="36" fillId="0" borderId="0" xfId="1" applyFont="1" applyAlignment="1" applyProtection="1">
      <alignment vertical="center"/>
      <protection locked="0"/>
    </xf>
    <xf numFmtId="0" fontId="36" fillId="0" borderId="38" xfId="1" applyFont="1" applyBorder="1" applyAlignment="1" applyProtection="1">
      <alignment horizontal="center" vertical="center"/>
      <protection locked="0"/>
    </xf>
    <xf numFmtId="0" fontId="36" fillId="0" borderId="0" xfId="1" applyFont="1" applyAlignment="1" applyProtection="1">
      <alignment horizontal="center" vertical="center"/>
      <protection locked="0"/>
    </xf>
    <xf numFmtId="0" fontId="58" fillId="6" borderId="71" xfId="1" applyFont="1" applyFill="1" applyBorder="1" applyAlignment="1" applyProtection="1">
      <alignment horizontal="center" vertical="center"/>
      <protection locked="0"/>
    </xf>
    <xf numFmtId="0" fontId="58" fillId="6" borderId="61" xfId="1" applyFont="1" applyFill="1" applyBorder="1" applyAlignment="1" applyProtection="1">
      <alignment horizontal="center" vertical="center"/>
      <protection locked="0"/>
    </xf>
    <xf numFmtId="0" fontId="58" fillId="6" borderId="62" xfId="1" applyFont="1" applyFill="1" applyBorder="1" applyAlignment="1" applyProtection="1">
      <alignment horizontal="center" vertical="center"/>
      <protection locked="0"/>
    </xf>
    <xf numFmtId="0" fontId="58" fillId="6" borderId="68" xfId="1" applyFont="1" applyFill="1" applyBorder="1" applyAlignment="1" applyProtection="1">
      <alignment horizontal="center" vertical="center"/>
      <protection locked="0"/>
    </xf>
    <xf numFmtId="0" fontId="58" fillId="6" borderId="18" xfId="1" applyFont="1" applyFill="1" applyBorder="1" applyAlignment="1" applyProtection="1">
      <alignment horizontal="center" vertical="center"/>
      <protection locked="0"/>
    </xf>
    <xf numFmtId="0" fontId="58" fillId="6" borderId="52" xfId="1" applyFont="1" applyFill="1" applyBorder="1" applyAlignment="1" applyProtection="1">
      <alignment horizontal="center" vertical="center"/>
      <protection locked="0"/>
    </xf>
    <xf numFmtId="0" fontId="35" fillId="0" borderId="6" xfId="1" applyFont="1" applyBorder="1" applyAlignment="1">
      <alignment horizontal="center" vertical="center" wrapText="1"/>
    </xf>
    <xf numFmtId="0" fontId="35" fillId="0" borderId="94" xfId="1" applyFont="1" applyBorder="1" applyAlignment="1">
      <alignment horizontal="center" vertical="center" wrapText="1"/>
    </xf>
    <xf numFmtId="0" fontId="1" fillId="0" borderId="95" xfId="1" applyBorder="1"/>
    <xf numFmtId="0" fontId="1" fillId="0" borderId="75" xfId="1" applyBorder="1"/>
    <xf numFmtId="0" fontId="1" fillId="0" borderId="54" xfId="1" applyBorder="1"/>
    <xf numFmtId="0" fontId="1" fillId="0" borderId="17" xfId="1" applyBorder="1"/>
    <xf numFmtId="0" fontId="77" fillId="0" borderId="0" xfId="1" applyFont="1" applyAlignment="1" applyProtection="1">
      <alignment horizontal="center"/>
      <protection locked="0"/>
    </xf>
    <xf numFmtId="0" fontId="77" fillId="0" borderId="36" xfId="1" applyFont="1" applyBorder="1" applyAlignment="1" applyProtection="1">
      <alignment horizontal="center"/>
      <protection locked="0"/>
    </xf>
    <xf numFmtId="0" fontId="34" fillId="0" borderId="36" xfId="1" applyFont="1" applyBorder="1" applyAlignment="1" applyProtection="1">
      <alignment horizontal="center"/>
      <protection locked="0"/>
    </xf>
    <xf numFmtId="0" fontId="1" fillId="0" borderId="98" xfId="1" applyBorder="1"/>
    <xf numFmtId="0" fontId="1" fillId="0" borderId="76" xfId="1" applyBorder="1"/>
    <xf numFmtId="0" fontId="21" fillId="0" borderId="1" xfId="1" applyFont="1" applyBorder="1"/>
    <xf numFmtId="0" fontId="21" fillId="0" borderId="10" xfId="1" applyFont="1" applyBorder="1"/>
    <xf numFmtId="168" fontId="25" fillId="8" borderId="55" xfId="14" applyNumberFormat="1" applyFont="1" applyFill="1" applyBorder="1" applyAlignment="1" applyProtection="1">
      <alignment horizontal="center" vertical="center"/>
      <protection locked="0"/>
    </xf>
    <xf numFmtId="0" fontId="1" fillId="6" borderId="56" xfId="14" applyFill="1" applyBorder="1" applyAlignment="1" applyProtection="1">
      <alignment horizontal="center" vertical="center"/>
      <protection locked="0"/>
    </xf>
    <xf numFmtId="168" fontId="25" fillId="8" borderId="56" xfId="14" applyNumberFormat="1" applyFont="1" applyFill="1" applyBorder="1" applyAlignment="1" applyProtection="1">
      <alignment horizontal="center" vertical="center"/>
      <protection locked="0"/>
    </xf>
    <xf numFmtId="0" fontId="29" fillId="11" borderId="147" xfId="14" applyFont="1" applyFill="1" applyBorder="1" applyAlignment="1">
      <alignment horizontal="center" vertical="center"/>
    </xf>
    <xf numFmtId="0" fontId="25" fillId="0" borderId="148" xfId="14" applyFont="1" applyBorder="1" applyAlignment="1">
      <alignment horizontal="center" vertical="center"/>
    </xf>
    <xf numFmtId="168" fontId="29" fillId="0" borderId="149" xfId="14" applyNumberFormat="1" applyFont="1" applyBorder="1" applyAlignment="1">
      <alignment horizontal="center" vertical="center"/>
    </xf>
    <xf numFmtId="0" fontId="1" fillId="0" borderId="150" xfId="14" applyBorder="1" applyAlignment="1">
      <alignment horizontal="center" vertical="center"/>
    </xf>
    <xf numFmtId="168" fontId="29" fillId="0" borderId="150" xfId="14" applyNumberFormat="1" applyFont="1" applyBorder="1" applyAlignment="1">
      <alignment horizontal="center" vertical="center"/>
    </xf>
    <xf numFmtId="0" fontId="28" fillId="0" borderId="2" xfId="14" applyFont="1" applyBorder="1" applyAlignment="1">
      <alignment horizontal="left" vertical="center" wrapText="1"/>
    </xf>
    <xf numFmtId="0" fontId="28" fillId="0" borderId="0" xfId="14" applyFont="1" applyAlignment="1">
      <alignment horizontal="left" vertical="center" wrapText="1"/>
    </xf>
    <xf numFmtId="0" fontId="28" fillId="0" borderId="12" xfId="14" applyFont="1" applyBorder="1" applyAlignment="1">
      <alignment horizontal="left" vertical="center" wrapText="1"/>
    </xf>
    <xf numFmtId="4" fontId="28" fillId="11" borderId="100" xfId="14" applyNumberFormat="1" applyFont="1" applyFill="1" applyBorder="1" applyAlignment="1" applyProtection="1">
      <alignment horizontal="center"/>
      <protection locked="0"/>
    </xf>
    <xf numFmtId="0" fontId="1" fillId="0" borderId="133" xfId="14" applyBorder="1" applyAlignment="1">
      <alignment horizontal="center"/>
    </xf>
    <xf numFmtId="4" fontId="28" fillId="12" borderId="75" xfId="14" applyNumberFormat="1" applyFont="1" applyFill="1" applyBorder="1" applyAlignment="1" applyProtection="1">
      <alignment horizontal="center"/>
      <protection locked="0"/>
    </xf>
    <xf numFmtId="4" fontId="28" fillId="0" borderId="17" xfId="14" applyNumberFormat="1" applyFont="1" applyBorder="1" applyAlignment="1">
      <alignment horizontal="center"/>
    </xf>
    <xf numFmtId="168" fontId="29" fillId="0" borderId="55" xfId="15" applyNumberFormat="1" applyFont="1" applyBorder="1" applyAlignment="1">
      <alignment horizontal="right"/>
    </xf>
    <xf numFmtId="168" fontId="29" fillId="0" borderId="56" xfId="15" applyNumberFormat="1" applyFont="1" applyBorder="1" applyAlignment="1">
      <alignment horizontal="right"/>
    </xf>
    <xf numFmtId="168" fontId="28" fillId="8" borderId="99" xfId="14" applyNumberFormat="1" applyFont="1" applyFill="1" applyBorder="1" applyAlignment="1">
      <alignment horizontal="center"/>
    </xf>
    <xf numFmtId="168" fontId="28" fillId="8" borderId="30" xfId="14" applyNumberFormat="1" applyFont="1" applyFill="1" applyBorder="1" applyAlignment="1">
      <alignment horizontal="center"/>
    </xf>
    <xf numFmtId="4" fontId="28" fillId="0" borderId="23" xfId="14" applyNumberFormat="1" applyFont="1" applyBorder="1" applyAlignment="1">
      <alignment horizontal="center"/>
    </xf>
    <xf numFmtId="14" fontId="39" fillId="12" borderId="100" xfId="14" applyNumberFormat="1" applyFont="1" applyFill="1" applyBorder="1" applyAlignment="1" applyProtection="1">
      <alignment horizontal="center" vertical="center"/>
      <protection locked="0"/>
    </xf>
    <xf numFmtId="0" fontId="1" fillId="14" borderId="134" xfId="14" applyFill="1" applyBorder="1" applyAlignment="1" applyProtection="1">
      <alignment horizontal="center" vertical="center"/>
      <protection locked="0"/>
    </xf>
    <xf numFmtId="14" fontId="39" fillId="15" borderId="100" xfId="14" applyNumberFormat="1" applyFont="1" applyFill="1" applyBorder="1" applyAlignment="1" applyProtection="1">
      <alignment horizontal="center"/>
      <protection locked="0"/>
    </xf>
    <xf numFmtId="0" fontId="1" fillId="16" borderId="134" xfId="14" applyFill="1" applyBorder="1" applyAlignment="1" applyProtection="1">
      <alignment horizontal="center"/>
      <protection locked="0"/>
    </xf>
    <xf numFmtId="0" fontId="22" fillId="0" borderId="0" xfId="14" applyFont="1" applyAlignment="1">
      <alignment horizontal="center"/>
    </xf>
    <xf numFmtId="0" fontId="25" fillId="11" borderId="55" xfId="14" applyFont="1" applyFill="1" applyBorder="1" applyAlignment="1">
      <alignment horizontal="center" vertical="center" wrapText="1"/>
    </xf>
    <xf numFmtId="0" fontId="1" fillId="0" borderId="56" xfId="14" applyBorder="1" applyAlignment="1">
      <alignment horizontal="center" vertical="center"/>
    </xf>
    <xf numFmtId="0" fontId="1" fillId="0" borderId="56" xfId="14" applyBorder="1" applyAlignment="1">
      <alignment horizontal="center" vertical="center" wrapText="1"/>
    </xf>
    <xf numFmtId="0" fontId="28" fillId="0" borderId="127" xfId="14" applyFont="1" applyBorder="1" applyAlignment="1" applyProtection="1">
      <alignment horizontal="center" vertical="center"/>
      <protection locked="0"/>
    </xf>
    <xf numFmtId="0" fontId="28" fillId="0" borderId="3" xfId="14" applyFont="1" applyBorder="1" applyAlignment="1" applyProtection="1">
      <alignment horizontal="center" vertical="center"/>
      <protection locked="0"/>
    </xf>
    <xf numFmtId="0" fontId="22" fillId="7" borderId="0" xfId="14" applyFont="1" applyFill="1" applyAlignment="1" applyProtection="1">
      <alignment horizontal="center"/>
      <protection locked="0"/>
    </xf>
    <xf numFmtId="0" fontId="1" fillId="7" borderId="0" xfId="14" applyFill="1" applyAlignment="1">
      <alignment horizontal="center"/>
    </xf>
    <xf numFmtId="0" fontId="29" fillId="8" borderId="36" xfId="14" applyFont="1" applyFill="1" applyBorder="1" applyAlignment="1" applyProtection="1">
      <protection locked="0"/>
    </xf>
    <xf numFmtId="0" fontId="29" fillId="0" borderId="120" xfId="14" applyFont="1" applyBorder="1" applyAlignment="1" applyProtection="1">
      <protection locked="0"/>
    </xf>
    <xf numFmtId="0" fontId="1" fillId="0" borderId="120" xfId="14" applyBorder="1" applyAlignment="1"/>
    <xf numFmtId="0" fontId="28" fillId="0" borderId="124" xfId="14" applyFont="1" applyBorder="1" applyAlignment="1">
      <alignment horizontal="left" vertical="center" wrapText="1"/>
    </xf>
    <xf numFmtId="0" fontId="28" fillId="0" borderId="125" xfId="14" applyFont="1" applyBorder="1" applyAlignment="1">
      <alignment horizontal="left" vertical="center" wrapText="1"/>
    </xf>
    <xf numFmtId="171" fontId="68" fillId="0" borderId="164" xfId="14" applyNumberFormat="1" applyFont="1" applyBorder="1" applyAlignment="1" applyProtection="1">
      <alignment horizontal="center"/>
      <protection locked="0"/>
    </xf>
    <xf numFmtId="171" fontId="68" fillId="0" borderId="36" xfId="14" applyNumberFormat="1" applyFont="1" applyBorder="1" applyAlignment="1" applyProtection="1">
      <alignment horizontal="center"/>
      <protection locked="0"/>
    </xf>
    <xf numFmtId="171" fontId="68" fillId="0" borderId="124" xfId="14" applyNumberFormat="1" applyFont="1" applyBorder="1" applyAlignment="1" applyProtection="1">
      <alignment horizontal="center"/>
      <protection locked="0"/>
    </xf>
    <xf numFmtId="171" fontId="68" fillId="0" borderId="0" xfId="14" applyNumberFormat="1" applyFont="1" applyAlignment="1" applyProtection="1">
      <alignment horizontal="center"/>
      <protection locked="0"/>
    </xf>
    <xf numFmtId="0" fontId="4" fillId="2" borderId="1" xfId="1" applyFont="1" applyFill="1" applyBorder="1" applyAlignment="1">
      <alignment horizontal="left" vertical="center"/>
    </xf>
    <xf numFmtId="0" fontId="4" fillId="2" borderId="11" xfId="1" applyFont="1" applyFill="1" applyBorder="1" applyAlignment="1">
      <alignment horizontal="left"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2" borderId="10" xfId="1" applyFont="1" applyFill="1" applyBorder="1" applyAlignment="1">
      <alignment horizontal="left" vertical="center"/>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79" fillId="0" borderId="165" xfId="0" applyFont="1" applyBorder="1" applyAlignment="1">
      <alignment horizontal="left" vertical="top"/>
    </xf>
    <xf numFmtId="0" fontId="4" fillId="2" borderId="9" xfId="1" applyFont="1" applyFill="1" applyBorder="1" applyAlignment="1">
      <alignment horizontal="left" vertical="center"/>
    </xf>
    <xf numFmtId="0" fontId="4" fillId="0" borderId="1" xfId="4" applyFont="1" applyBorder="1" applyAlignment="1" applyProtection="1">
      <alignment horizontal="left" vertical="center"/>
      <protection locked="0"/>
    </xf>
    <xf numFmtId="0" fontId="4" fillId="0" borderId="11" xfId="4" applyFont="1" applyBorder="1" applyAlignment="1" applyProtection="1">
      <alignment horizontal="left" vertical="center"/>
      <protection locked="0"/>
    </xf>
    <xf numFmtId="0" fontId="2" fillId="0" borderId="0" xfId="4" applyFont="1" applyAlignment="1">
      <alignment horizontal="left" vertical="center"/>
    </xf>
    <xf numFmtId="170" fontId="4" fillId="0" borderId="23" xfId="0" applyNumberFormat="1" applyFont="1" applyBorder="1" applyAlignment="1">
      <alignment horizontal="center" vertical="center"/>
    </xf>
    <xf numFmtId="170" fontId="4" fillId="0" borderId="24" xfId="0" applyNumberFormat="1" applyFont="1" applyBorder="1" applyAlignment="1">
      <alignment horizontal="center" vertical="center"/>
    </xf>
    <xf numFmtId="0" fontId="13" fillId="0" borderId="38" xfId="22" applyFont="1" applyBorder="1" applyAlignment="1">
      <alignment horizontal="left" vertical="center"/>
    </xf>
    <xf numFmtId="0" fontId="13" fillId="0" borderId="0" xfId="22" applyFont="1" applyBorder="1" applyAlignment="1">
      <alignment horizontal="left" vertical="center"/>
    </xf>
    <xf numFmtId="0" fontId="13" fillId="0" borderId="40" xfId="22" applyFont="1" applyBorder="1" applyAlignment="1">
      <alignment horizontal="left" vertical="center"/>
    </xf>
    <xf numFmtId="0" fontId="13" fillId="0" borderId="38" xfId="22" applyFont="1" applyBorder="1" applyAlignment="1">
      <alignment horizontal="center" vertical="center" wrapText="1"/>
    </xf>
    <xf numFmtId="0" fontId="13" fillId="0" borderId="0" xfId="22" applyFont="1" applyBorder="1" applyAlignment="1">
      <alignment horizontal="center" vertical="center" wrapText="1"/>
    </xf>
    <xf numFmtId="0" fontId="13" fillId="0" borderId="40" xfId="22" applyFont="1" applyBorder="1" applyAlignment="1">
      <alignment horizontal="center" vertical="center" wrapText="1"/>
    </xf>
    <xf numFmtId="0" fontId="4" fillId="0" borderId="23" xfId="21" applyFont="1" applyBorder="1" applyAlignment="1">
      <alignment horizontal="center" vertical="center" wrapText="1"/>
    </xf>
    <xf numFmtId="0" fontId="4" fillId="0" borderId="24" xfId="21" applyFont="1" applyBorder="1" applyAlignment="1">
      <alignment horizontal="center" vertical="center" wrapText="1"/>
    </xf>
    <xf numFmtId="0" fontId="4" fillId="0" borderId="23" xfId="21" applyFont="1" applyBorder="1" applyAlignment="1">
      <alignment horizontal="center" vertical="center"/>
    </xf>
    <xf numFmtId="0" fontId="4" fillId="0" borderId="24" xfId="21"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 fillId="0" borderId="38" xfId="22" applyFont="1" applyBorder="1" applyAlignment="1">
      <alignment horizontal="left" vertical="top" wrapText="1"/>
    </xf>
    <xf numFmtId="0" fontId="2" fillId="0" borderId="0" xfId="22" applyFont="1" applyAlignment="1">
      <alignment horizontal="left" vertical="top" wrapText="1"/>
    </xf>
    <xf numFmtId="0" fontId="3" fillId="0" borderId="0" xfId="22" quotePrefix="1" applyFont="1" applyFill="1" applyAlignment="1">
      <alignment horizontal="left" vertical="top" wrapText="1"/>
    </xf>
    <xf numFmtId="0" fontId="3" fillId="0" borderId="0" xfId="22" quotePrefix="1" applyFont="1" applyFill="1" applyAlignment="1">
      <alignment horizontal="left" vertical="top"/>
    </xf>
    <xf numFmtId="0" fontId="2" fillId="0" borderId="0" xfId="22" quotePrefix="1" applyFont="1" applyFill="1" applyAlignment="1">
      <alignment horizontal="left" vertical="top" wrapText="1"/>
    </xf>
    <xf numFmtId="0" fontId="13" fillId="0" borderId="38" xfId="22" quotePrefix="1" applyFont="1" applyBorder="1" applyAlignment="1">
      <alignment horizontal="left" vertical="top" wrapText="1"/>
    </xf>
    <xf numFmtId="0" fontId="13" fillId="0" borderId="0" xfId="22" quotePrefix="1" applyFont="1" applyAlignment="1">
      <alignment horizontal="left" vertical="top" wrapText="1"/>
    </xf>
    <xf numFmtId="0" fontId="13" fillId="0" borderId="40" xfId="22" quotePrefix="1" applyFont="1" applyBorder="1" applyAlignment="1">
      <alignment horizontal="left" vertical="top" wrapText="1"/>
    </xf>
    <xf numFmtId="0" fontId="3" fillId="0" borderId="0" xfId="22" applyFont="1" applyAlignment="1">
      <alignment horizontal="left" vertical="top" wrapText="1"/>
    </xf>
    <xf numFmtId="0" fontId="3" fillId="0" borderId="40" xfId="22" applyFont="1" applyBorder="1" applyAlignment="1">
      <alignment horizontal="left" vertical="top" wrapText="1"/>
    </xf>
    <xf numFmtId="0" fontId="3" fillId="0" borderId="0" xfId="22" applyFont="1" applyFill="1" applyAlignment="1">
      <alignment horizontal="left" wrapText="1"/>
    </xf>
    <xf numFmtId="0" fontId="3" fillId="0" borderId="40" xfId="22" applyFont="1" applyFill="1" applyBorder="1" applyAlignment="1">
      <alignment horizontal="left" wrapText="1"/>
    </xf>
    <xf numFmtId="0" fontId="4" fillId="0" borderId="55" xfId="22" applyFont="1" applyFill="1" applyBorder="1" applyAlignment="1">
      <alignment horizontal="left" vertical="top"/>
    </xf>
    <xf numFmtId="0" fontId="4" fillId="0" borderId="81" xfId="22" applyFont="1" applyFill="1" applyBorder="1" applyAlignment="1">
      <alignment horizontal="left" vertical="top"/>
    </xf>
    <xf numFmtId="0" fontId="4" fillId="0" borderId="56" xfId="22" applyFont="1" applyFill="1" applyBorder="1" applyAlignment="1">
      <alignment horizontal="left" vertical="top"/>
    </xf>
    <xf numFmtId="0" fontId="3" fillId="0" borderId="38" xfId="22" applyFont="1" applyFill="1" applyBorder="1" applyAlignment="1">
      <alignment horizontal="left" vertical="top" wrapText="1"/>
    </xf>
    <xf numFmtId="0" fontId="3" fillId="0" borderId="0" xfId="22" applyFont="1" applyFill="1" applyAlignment="1">
      <alignment horizontal="left" vertical="top" wrapText="1"/>
    </xf>
    <xf numFmtId="0" fontId="3" fillId="0" borderId="40" xfId="22" applyFont="1" applyFill="1" applyBorder="1" applyAlignment="1">
      <alignment horizontal="left" vertical="top" wrapText="1"/>
    </xf>
    <xf numFmtId="0" fontId="4" fillId="0" borderId="55" xfId="22" applyFont="1" applyBorder="1" applyAlignment="1">
      <alignment horizontal="left" vertical="center"/>
    </xf>
    <xf numFmtId="0" fontId="4" fillId="0" borderId="81" xfId="22" applyFont="1" applyBorder="1" applyAlignment="1">
      <alignment horizontal="left" vertical="center"/>
    </xf>
    <xf numFmtId="0" fontId="4" fillId="0" borderId="56" xfId="22" applyFont="1" applyBorder="1" applyAlignment="1">
      <alignment horizontal="left" vertical="center"/>
    </xf>
    <xf numFmtId="0" fontId="3" fillId="0" borderId="0" xfId="22" applyFont="1" applyAlignment="1">
      <alignment horizontal="left" vertical="top"/>
    </xf>
    <xf numFmtId="0" fontId="3" fillId="0" borderId="0" xfId="21" applyFont="1" applyAlignment="1">
      <alignment horizontal="left" wrapText="1"/>
    </xf>
    <xf numFmtId="0" fontId="3" fillId="0" borderId="0" xfId="22" applyFont="1" applyAlignment="1">
      <alignment horizontal="left" wrapText="1"/>
    </xf>
    <xf numFmtId="0" fontId="3" fillId="0" borderId="40" xfId="22" applyFont="1" applyBorder="1" applyAlignment="1">
      <alignment horizontal="left" wrapText="1"/>
    </xf>
    <xf numFmtId="0" fontId="13" fillId="0" borderId="38" xfId="22" applyFont="1" applyFill="1" applyBorder="1" applyAlignment="1">
      <alignment horizontal="left" vertical="top" wrapText="1"/>
    </xf>
    <xf numFmtId="0" fontId="13" fillId="0" borderId="0" xfId="22" applyFont="1" applyFill="1" applyAlignment="1">
      <alignment horizontal="left" vertical="top" wrapText="1"/>
    </xf>
    <xf numFmtId="0" fontId="13" fillId="0" borderId="40" xfId="22" applyFont="1" applyFill="1" applyBorder="1" applyAlignment="1">
      <alignment horizontal="left" vertical="top" wrapText="1"/>
    </xf>
    <xf numFmtId="0" fontId="2" fillId="0" borderId="38" xfId="22" applyFont="1" applyFill="1" applyBorder="1" applyAlignment="1">
      <alignment horizontal="left" vertical="top"/>
    </xf>
    <xf numFmtId="0" fontId="2" fillId="0" borderId="0" xfId="22" applyFont="1" applyFill="1" applyAlignment="1">
      <alignment horizontal="left" vertical="top"/>
    </xf>
    <xf numFmtId="0" fontId="2" fillId="0" borderId="40" xfId="22" applyFont="1" applyFill="1" applyBorder="1" applyAlignment="1">
      <alignment horizontal="left" vertical="top"/>
    </xf>
    <xf numFmtId="0" fontId="4" fillId="0" borderId="55" xfId="21" applyFont="1" applyBorder="1" applyAlignment="1">
      <alignment horizontal="left" vertical="center"/>
    </xf>
    <xf numFmtId="0" fontId="4" fillId="0" borderId="81" xfId="21" applyFont="1" applyBorder="1" applyAlignment="1">
      <alignment horizontal="left" vertical="center"/>
    </xf>
    <xf numFmtId="0" fontId="4" fillId="0" borderId="56" xfId="21" applyFont="1" applyBorder="1" applyAlignment="1">
      <alignment horizontal="left" vertical="center"/>
    </xf>
    <xf numFmtId="0" fontId="4" fillId="0" borderId="55" xfId="22" applyFont="1" applyFill="1" applyBorder="1" applyAlignment="1">
      <alignment horizontal="left" vertical="center"/>
    </xf>
    <xf numFmtId="0" fontId="4" fillId="0" borderId="81" xfId="22" applyFont="1" applyFill="1" applyBorder="1" applyAlignment="1">
      <alignment horizontal="left" vertical="center"/>
    </xf>
    <xf numFmtId="0" fontId="4" fillId="0" borderId="56" xfId="22" applyFont="1" applyFill="1" applyBorder="1" applyAlignment="1">
      <alignment horizontal="left" vertical="center"/>
    </xf>
    <xf numFmtId="0" fontId="3" fillId="0" borderId="0" xfId="22" applyFont="1" applyFill="1" applyBorder="1" applyAlignment="1">
      <alignment horizontal="left" vertical="top" wrapText="1"/>
    </xf>
    <xf numFmtId="0" fontId="20" fillId="0" borderId="55" xfId="24" applyFont="1" applyBorder="1" applyAlignment="1">
      <alignment horizontal="center"/>
    </xf>
    <xf numFmtId="0" fontId="20" fillId="0" borderId="81" xfId="24" applyFont="1" applyBorder="1" applyAlignment="1">
      <alignment horizontal="center"/>
    </xf>
    <xf numFmtId="0" fontId="20" fillId="0" borderId="56" xfId="24" applyFont="1" applyBorder="1" applyAlignment="1">
      <alignment horizontal="center"/>
    </xf>
    <xf numFmtId="4" fontId="20" fillId="0" borderId="0" xfId="24" applyNumberFormat="1" applyFont="1" applyAlignment="1">
      <alignment horizontal="left"/>
    </xf>
    <xf numFmtId="0" fontId="21" fillId="0" borderId="55" xfId="24" applyFont="1" applyBorder="1" applyAlignment="1">
      <alignment horizontal="center"/>
    </xf>
    <xf numFmtId="0" fontId="21" fillId="0" borderId="81" xfId="24" applyFont="1" applyBorder="1" applyAlignment="1">
      <alignment horizontal="center"/>
    </xf>
    <xf numFmtId="0" fontId="21" fillId="0" borderId="56" xfId="24" applyFont="1" applyBorder="1" applyAlignment="1">
      <alignment horizontal="center"/>
    </xf>
    <xf numFmtId="4" fontId="21" fillId="0" borderId="0" xfId="24" applyNumberFormat="1" applyFont="1" applyAlignment="1">
      <alignment horizontal="left"/>
    </xf>
    <xf numFmtId="0" fontId="21" fillId="11" borderId="149" xfId="25" applyFont="1" applyBorder="1" applyAlignment="1">
      <alignment horizontal="left" vertical="center"/>
    </xf>
    <xf numFmtId="0" fontId="21" fillId="11" borderId="148" xfId="25" applyFont="1" applyBorder="1" applyAlignment="1">
      <alignment horizontal="left" vertical="center"/>
    </xf>
    <xf numFmtId="0" fontId="21" fillId="11" borderId="150" xfId="25" applyFont="1" applyBorder="1" applyAlignment="1">
      <alignment horizontal="left" vertical="center"/>
    </xf>
    <xf numFmtId="0" fontId="21" fillId="0" borderId="55" xfId="1" applyFont="1" applyBorder="1" applyAlignment="1">
      <alignment horizontal="center"/>
    </xf>
    <xf numFmtId="0" fontId="21" fillId="0" borderId="81" xfId="1" applyFont="1" applyBorder="1" applyAlignment="1">
      <alignment horizontal="center"/>
    </xf>
    <xf numFmtId="0" fontId="21" fillId="0" borderId="56" xfId="1" applyFont="1" applyBorder="1" applyAlignment="1">
      <alignment horizontal="center"/>
    </xf>
    <xf numFmtId="4" fontId="21" fillId="0" borderId="0" xfId="1" applyNumberFormat="1" applyFont="1" applyAlignment="1">
      <alignment horizontal="left"/>
    </xf>
    <xf numFmtId="0" fontId="20" fillId="0" borderId="55" xfId="1" applyFont="1" applyBorder="1" applyAlignment="1">
      <alignment horizontal="center"/>
    </xf>
    <xf numFmtId="0" fontId="20" fillId="0" borderId="81" xfId="1" applyFont="1" applyBorder="1" applyAlignment="1">
      <alignment horizontal="center"/>
    </xf>
    <xf numFmtId="0" fontId="20" fillId="0" borderId="56" xfId="1" applyFont="1" applyBorder="1" applyAlignment="1">
      <alignment horizontal="center"/>
    </xf>
    <xf numFmtId="4" fontId="20" fillId="0" borderId="0" xfId="1" applyNumberFormat="1" applyFont="1" applyAlignment="1">
      <alignment horizontal="left" vertical="center"/>
    </xf>
    <xf numFmtId="0" fontId="20" fillId="0" borderId="0" xfId="24" applyFont="1" applyAlignment="1">
      <alignment horizontal="left"/>
    </xf>
    <xf numFmtId="0" fontId="19" fillId="0" borderId="40" xfId="1" applyFont="1" applyBorder="1" applyAlignment="1">
      <alignment horizontal="left"/>
    </xf>
    <xf numFmtId="0" fontId="20" fillId="0" borderId="40" xfId="1" applyFont="1" applyBorder="1" applyAlignment="1">
      <alignment horizontal="left"/>
    </xf>
    <xf numFmtId="2" fontId="20" fillId="2" borderId="134" xfId="1" applyNumberFormat="1" applyFont="1" applyFill="1" applyBorder="1" applyAlignment="1">
      <alignment horizontal="center" vertical="justify"/>
    </xf>
    <xf numFmtId="0" fontId="21" fillId="0" borderId="0" xfId="24" applyFont="1" applyAlignment="1">
      <alignment horizontal="left"/>
    </xf>
    <xf numFmtId="0" fontId="21" fillId="0" borderId="33" xfId="24" applyNumberFormat="1" applyFont="1" applyBorder="1" applyAlignment="1">
      <alignment horizontal="left" vertical="top" wrapText="1"/>
    </xf>
    <xf numFmtId="0" fontId="21" fillId="0" borderId="3" xfId="24" applyNumberFormat="1" applyFont="1" applyBorder="1" applyAlignment="1">
      <alignment horizontal="left" vertical="top" wrapText="1"/>
    </xf>
    <xf numFmtId="0" fontId="21" fillId="0" borderId="0" xfId="24" applyNumberFormat="1" applyFont="1" applyBorder="1" applyAlignment="1">
      <alignment horizontal="left" vertical="top"/>
    </xf>
    <xf numFmtId="0" fontId="21" fillId="0" borderId="55" xfId="1" applyFont="1" applyBorder="1" applyAlignment="1">
      <alignment horizontal="left"/>
    </xf>
    <xf numFmtId="0" fontId="21" fillId="0" borderId="81" xfId="1" applyFont="1" applyBorder="1" applyAlignment="1">
      <alignment horizontal="left"/>
    </xf>
    <xf numFmtId="0" fontId="21" fillId="0" borderId="56" xfId="1" applyFont="1" applyBorder="1" applyAlignment="1">
      <alignment horizontal="left"/>
    </xf>
    <xf numFmtId="0" fontId="102" fillId="0" borderId="55" xfId="1" applyFont="1" applyBorder="1" applyAlignment="1">
      <alignment horizontal="left"/>
    </xf>
    <xf numFmtId="0" fontId="102" fillId="0" borderId="81" xfId="1" applyFont="1" applyBorder="1" applyAlignment="1">
      <alignment horizontal="left"/>
    </xf>
    <xf numFmtId="0" fontId="102" fillId="0" borderId="56" xfId="1" applyFont="1" applyBorder="1" applyAlignment="1">
      <alignment horizontal="left"/>
    </xf>
    <xf numFmtId="4" fontId="21" fillId="0" borderId="17" xfId="29" applyFont="1" applyBorder="1" applyAlignment="1"/>
    <xf numFmtId="4" fontId="21" fillId="0" borderId="0" xfId="29" applyFont="1" applyAlignment="1">
      <alignment horizontal="left"/>
    </xf>
    <xf numFmtId="0" fontId="21" fillId="0" borderId="0" xfId="24" applyFont="1" applyAlignment="1">
      <alignment horizontal="left" vertical="top"/>
    </xf>
    <xf numFmtId="49" fontId="21" fillId="0" borderId="36" xfId="24" applyNumberFormat="1" applyFont="1" applyBorder="1" applyAlignment="1">
      <alignment horizontal="left" wrapText="1"/>
    </xf>
    <xf numFmtId="0" fontId="111" fillId="0" borderId="6" xfId="24" applyFont="1" applyBorder="1" applyAlignment="1">
      <alignment horizontal="center" vertical="center"/>
    </xf>
    <xf numFmtId="0" fontId="111" fillId="0" borderId="14" xfId="24" applyFont="1" applyBorder="1" applyAlignment="1">
      <alignment horizontal="center" vertical="center"/>
    </xf>
    <xf numFmtId="0" fontId="111" fillId="0" borderId="15" xfId="24" applyFont="1" applyBorder="1" applyAlignment="1">
      <alignment horizontal="center" vertical="center"/>
    </xf>
    <xf numFmtId="4" fontId="4" fillId="0" borderId="5" xfId="1" applyNumberFormat="1" applyFont="1" applyBorder="1" applyAlignment="1">
      <alignment horizontal="center" vertical="center"/>
    </xf>
    <xf numFmtId="4" fontId="4" fillId="0" borderId="7" xfId="1" applyNumberFormat="1" applyFont="1" applyBorder="1" applyAlignment="1">
      <alignment horizontal="center" vertical="center"/>
    </xf>
    <xf numFmtId="168" fontId="4" fillId="0" borderId="5" xfId="1" applyNumberFormat="1" applyFont="1" applyBorder="1" applyAlignment="1">
      <alignment horizontal="center" vertical="center"/>
    </xf>
    <xf numFmtId="168" fontId="4" fillId="0" borderId="7" xfId="1" applyNumberFormat="1" applyFont="1" applyBorder="1" applyAlignment="1">
      <alignment horizontal="center" vertical="center"/>
    </xf>
    <xf numFmtId="0" fontId="4" fillId="0" borderId="1"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2" fillId="0" borderId="0" xfId="1" applyFont="1" applyAlignment="1">
      <alignment horizontal="left" vertical="center"/>
    </xf>
    <xf numFmtId="2" fontId="4" fillId="0" borderId="5" xfId="1" applyNumberFormat="1" applyFont="1" applyBorder="1" applyAlignment="1">
      <alignment horizontal="center" vertical="center"/>
    </xf>
    <xf numFmtId="2" fontId="4" fillId="0" borderId="7" xfId="1" applyNumberFormat="1" applyFont="1" applyBorder="1" applyAlignment="1">
      <alignment horizontal="center" vertical="center"/>
    </xf>
    <xf numFmtId="167" fontId="4" fillId="2" borderId="5" xfId="2" applyNumberFormat="1" applyFont="1" applyFill="1" applyBorder="1" applyAlignment="1" applyProtection="1">
      <alignment horizontal="center" vertical="center"/>
    </xf>
    <xf numFmtId="167" fontId="4" fillId="2" borderId="7" xfId="2" applyNumberFormat="1" applyFont="1" applyFill="1" applyBorder="1" applyAlignment="1" applyProtection="1">
      <alignment horizontal="center" vertical="center"/>
    </xf>
    <xf numFmtId="0" fontId="4" fillId="2" borderId="5" xfId="1" applyFont="1" applyFill="1" applyBorder="1" applyAlignment="1">
      <alignment horizontal="center" vertical="center"/>
    </xf>
    <xf numFmtId="0" fontId="4" fillId="2" borderId="7" xfId="1" applyFont="1" applyFill="1" applyBorder="1" applyAlignment="1">
      <alignment horizontal="center" vertical="center"/>
    </xf>
    <xf numFmtId="2" fontId="4" fillId="2" borderId="5" xfId="1" applyNumberFormat="1" applyFont="1" applyFill="1" applyBorder="1" applyAlignment="1">
      <alignment horizontal="center" vertical="center"/>
    </xf>
    <xf numFmtId="2" fontId="4" fillId="2" borderId="7" xfId="1" applyNumberFormat="1" applyFont="1" applyFill="1" applyBorder="1" applyAlignment="1">
      <alignment horizontal="center" vertical="center"/>
    </xf>
    <xf numFmtId="4" fontId="4" fillId="2" borderId="5" xfId="1" applyNumberFormat="1" applyFont="1" applyFill="1" applyBorder="1" applyAlignment="1">
      <alignment horizontal="center" vertical="center"/>
    </xf>
    <xf numFmtId="4" fontId="4" fillId="2" borderId="7" xfId="1" applyNumberFormat="1" applyFont="1" applyFill="1" applyBorder="1" applyAlignment="1">
      <alignment horizontal="center" vertical="center"/>
    </xf>
    <xf numFmtId="0" fontId="4" fillId="0" borderId="4" xfId="1" applyFont="1" applyBorder="1" applyAlignment="1">
      <alignment horizontal="center" vertical="center" wrapText="1"/>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4" fontId="4" fillId="0" borderId="20" xfId="1" applyNumberFormat="1" applyFont="1" applyBorder="1" applyAlignment="1">
      <alignment horizontal="center" vertical="center"/>
    </xf>
    <xf numFmtId="4" fontId="4" fillId="0" borderId="21" xfId="1" applyNumberFormat="1" applyFont="1" applyBorder="1" applyAlignment="1">
      <alignment horizontal="center" vertical="center"/>
    </xf>
    <xf numFmtId="168" fontId="4" fillId="0" borderId="20" xfId="1" applyNumberFormat="1" applyFont="1" applyBorder="1" applyAlignment="1">
      <alignment horizontal="center" vertical="center"/>
    </xf>
    <xf numFmtId="168" fontId="4" fillId="0" borderId="21" xfId="1" applyNumberFormat="1" applyFont="1" applyBorder="1" applyAlignment="1">
      <alignment horizontal="center" vertical="center"/>
    </xf>
    <xf numFmtId="2" fontId="4" fillId="0" borderId="20" xfId="1" applyNumberFormat="1" applyFont="1" applyBorder="1" applyAlignment="1">
      <alignment horizontal="center" vertical="center"/>
    </xf>
    <xf numFmtId="2" fontId="4" fillId="0" borderId="21" xfId="1" applyNumberFormat="1" applyFont="1" applyBorder="1" applyAlignment="1">
      <alignment horizontal="center" vertical="center"/>
    </xf>
    <xf numFmtId="0" fontId="4" fillId="2" borderId="8" xfId="1" applyFont="1" applyFill="1" applyBorder="1" applyAlignment="1">
      <alignment horizontal="left" vertical="center"/>
    </xf>
    <xf numFmtId="0" fontId="4" fillId="2" borderId="3" xfId="1" applyFont="1" applyFill="1" applyBorder="1" applyAlignment="1">
      <alignment horizontal="left" vertical="center"/>
    </xf>
    <xf numFmtId="0" fontId="4" fillId="2" borderId="16" xfId="1" applyFont="1" applyFill="1" applyBorder="1" applyAlignment="1">
      <alignment horizontal="left" vertical="center"/>
    </xf>
    <xf numFmtId="0" fontId="4" fillId="2" borderId="5" xfId="1" applyFont="1" applyFill="1" applyBorder="1" applyAlignment="1">
      <alignment horizontal="left" vertical="center"/>
    </xf>
    <xf numFmtId="0" fontId="4" fillId="0" borderId="8" xfId="1" applyFont="1" applyBorder="1" applyAlignment="1">
      <alignment horizontal="left" vertical="center"/>
    </xf>
    <xf numFmtId="0" fontId="4" fillId="0" borderId="3" xfId="1" applyFont="1" applyBorder="1" applyAlignment="1">
      <alignment horizontal="left" vertical="center"/>
    </xf>
    <xf numFmtId="0" fontId="4" fillId="0" borderId="16" xfId="1" applyFont="1" applyBorder="1" applyAlignment="1">
      <alignment horizontal="left" vertical="center"/>
    </xf>
    <xf numFmtId="0" fontId="2" fillId="0" borderId="0" xfId="4" applyFont="1" applyAlignment="1">
      <alignment horizontal="left"/>
    </xf>
    <xf numFmtId="0" fontId="2" fillId="0" borderId="6" xfId="4" applyFont="1" applyBorder="1" applyAlignment="1">
      <alignment horizontal="center"/>
    </xf>
    <xf numFmtId="0" fontId="2" fillId="0" borderId="14" xfId="4" applyFont="1" applyBorder="1" applyAlignment="1">
      <alignment horizontal="center"/>
    </xf>
    <xf numFmtId="0" fontId="21" fillId="18" borderId="152" xfId="16" applyFont="1" applyFill="1" applyBorder="1" applyAlignment="1">
      <alignment vertical="center" wrapText="1"/>
    </xf>
    <xf numFmtId="0" fontId="21" fillId="18" borderId="153" xfId="16" applyFont="1" applyFill="1" applyBorder="1" applyAlignment="1">
      <alignment vertical="center" wrapText="1"/>
    </xf>
    <xf numFmtId="0" fontId="21" fillId="18" borderId="154" xfId="16" applyFont="1" applyFill="1" applyBorder="1" applyAlignment="1">
      <alignment vertical="center" wrapText="1"/>
    </xf>
    <xf numFmtId="0" fontId="1" fillId="0" borderId="155" xfId="16" applyFont="1" applyBorder="1" applyAlignment="1">
      <alignment vertical="center" wrapText="1"/>
    </xf>
    <xf numFmtId="0" fontId="1" fillId="0" borderId="159" xfId="16" applyFont="1" applyBorder="1" applyAlignment="1">
      <alignment vertical="center" wrapText="1"/>
    </xf>
    <xf numFmtId="0" fontId="21" fillId="0" borderId="155" xfId="16" applyFont="1" applyBorder="1" applyAlignment="1">
      <alignment horizontal="center" vertical="center" wrapText="1"/>
    </xf>
    <xf numFmtId="0" fontId="21" fillId="0" borderId="159" xfId="16" applyFont="1" applyBorder="1" applyAlignment="1">
      <alignment horizontal="center" vertical="center" wrapText="1"/>
    </xf>
    <xf numFmtId="0" fontId="21" fillId="0" borderId="156" xfId="16" applyFont="1" applyBorder="1" applyAlignment="1">
      <alignment horizontal="center" vertical="center" wrapText="1"/>
    </xf>
    <xf numFmtId="0" fontId="21" fillId="0" borderId="160" xfId="16" applyFont="1" applyBorder="1" applyAlignment="1">
      <alignment horizontal="center" vertical="center" wrapText="1"/>
    </xf>
    <xf numFmtId="0" fontId="21" fillId="0" borderId="157" xfId="16" applyFont="1" applyBorder="1" applyAlignment="1">
      <alignment horizontal="center" vertical="center" wrapText="1"/>
    </xf>
    <xf numFmtId="0" fontId="21" fillId="0" borderId="158" xfId="16" applyFont="1" applyBorder="1" applyAlignment="1">
      <alignment horizontal="center" vertical="center" wrapText="1"/>
    </xf>
    <xf numFmtId="0" fontId="21" fillId="0" borderId="152" xfId="1" applyFont="1" applyBorder="1" applyAlignment="1">
      <alignment vertical="center" wrapText="1"/>
    </xf>
    <xf numFmtId="0" fontId="21" fillId="0" borderId="153" xfId="1" applyFont="1" applyBorder="1" applyAlignment="1">
      <alignment vertical="center" wrapText="1"/>
    </xf>
    <xf numFmtId="0" fontId="21" fillId="0" borderId="154" xfId="1" applyFont="1" applyBorder="1" applyAlignment="1">
      <alignment vertical="center" wrapText="1"/>
    </xf>
    <xf numFmtId="0" fontId="1" fillId="0" borderId="155" xfId="1" applyBorder="1" applyAlignment="1">
      <alignment vertical="center" wrapText="1"/>
    </xf>
    <xf numFmtId="0" fontId="1" fillId="0" borderId="159" xfId="1" applyBorder="1" applyAlignment="1">
      <alignment vertical="center" wrapText="1"/>
    </xf>
    <xf numFmtId="0" fontId="21" fillId="0" borderId="155" xfId="1" applyFont="1" applyBorder="1" applyAlignment="1">
      <alignment horizontal="center" vertical="center" wrapText="1"/>
    </xf>
    <xf numFmtId="0" fontId="21" fillId="0" borderId="159" xfId="1" applyFont="1" applyBorder="1" applyAlignment="1">
      <alignment horizontal="center" vertical="center" wrapText="1"/>
    </xf>
    <xf numFmtId="0" fontId="21" fillId="0" borderId="156" xfId="1" applyFont="1" applyBorder="1" applyAlignment="1">
      <alignment horizontal="center" vertical="center" wrapText="1"/>
    </xf>
    <xf numFmtId="0" fontId="21" fillId="0" borderId="160" xfId="1" applyFont="1" applyBorder="1" applyAlignment="1">
      <alignment horizontal="center" vertical="center" wrapText="1"/>
    </xf>
    <xf numFmtId="0" fontId="21" fillId="0" borderId="157" xfId="1" applyFont="1" applyBorder="1" applyAlignment="1">
      <alignment horizontal="center" vertical="center" wrapText="1"/>
    </xf>
    <xf numFmtId="0" fontId="21" fillId="0" borderId="158" xfId="1" applyFont="1" applyBorder="1" applyAlignment="1">
      <alignment horizontal="center" vertical="center" wrapText="1"/>
    </xf>
    <xf numFmtId="0" fontId="19" fillId="0" borderId="19" xfId="1" applyFont="1" applyFill="1" applyBorder="1" applyAlignment="1" applyProtection="1">
      <alignment horizontal="left" vertical="top"/>
      <protection locked="0"/>
    </xf>
    <xf numFmtId="0" fontId="93" fillId="0" borderId="38" xfId="18" applyFont="1" applyFill="1" applyBorder="1" applyAlignment="1">
      <alignment vertical="top" wrapText="1"/>
    </xf>
    <xf numFmtId="2" fontId="20" fillId="2" borderId="133" xfId="1" applyNumberFormat="1" applyFont="1" applyFill="1" applyBorder="1" applyAlignment="1">
      <alignment horizontal="center" vertical="justify"/>
    </xf>
    <xf numFmtId="0" fontId="20" fillId="0" borderId="0" xfId="1" applyFont="1" applyBorder="1" applyAlignment="1">
      <alignment horizontal="left"/>
    </xf>
    <xf numFmtId="0" fontId="19" fillId="0" borderId="0" xfId="1" applyFont="1" applyBorder="1" applyAlignment="1">
      <alignment horizontal="left"/>
    </xf>
    <xf numFmtId="2" fontId="20" fillId="2" borderId="34" xfId="1" applyNumberFormat="1" applyFont="1" applyFill="1" applyBorder="1" applyAlignment="1">
      <alignment horizontal="center" vertical="justify"/>
    </xf>
    <xf numFmtId="1" fontId="20" fillId="0" borderId="183" xfId="1" applyNumberFormat="1" applyFont="1" applyBorder="1" applyAlignment="1">
      <alignment horizontal="center"/>
    </xf>
    <xf numFmtId="1" fontId="20" fillId="0" borderId="4" xfId="1" quotePrefix="1" applyNumberFormat="1" applyFont="1" applyBorder="1" applyAlignment="1">
      <alignment horizontal="center"/>
    </xf>
    <xf numFmtId="0" fontId="19" fillId="0" borderId="4" xfId="1" applyFont="1" applyBorder="1" applyAlignment="1">
      <alignment horizontal="center"/>
    </xf>
    <xf numFmtId="1" fontId="20" fillId="0" borderId="4" xfId="1" applyNumberFormat="1" applyFont="1" applyBorder="1" applyAlignment="1">
      <alignment horizontal="center"/>
    </xf>
    <xf numFmtId="1" fontId="99" fillId="0" borderId="4" xfId="1" applyNumberFormat="1" applyFont="1" applyBorder="1" applyAlignment="1">
      <alignment horizontal="center"/>
    </xf>
    <xf numFmtId="1" fontId="99" fillId="0" borderId="184" xfId="1" applyNumberFormat="1" applyFont="1" applyBorder="1" applyAlignment="1">
      <alignment horizontal="center"/>
    </xf>
    <xf numFmtId="2" fontId="100" fillId="22" borderId="40" xfId="1" applyNumberFormat="1" applyFont="1" applyFill="1" applyBorder="1"/>
    <xf numFmtId="2" fontId="99" fillId="0" borderId="148" xfId="1" applyNumberFormat="1" applyFont="1" applyBorder="1" applyAlignment="1">
      <alignment horizontal="left"/>
    </xf>
    <xf numFmtId="2" fontId="99" fillId="0" borderId="76" xfId="1" applyNumberFormat="1" applyFont="1" applyBorder="1" applyAlignment="1">
      <alignment horizontal="left"/>
    </xf>
    <xf numFmtId="43" fontId="99" fillId="0" borderId="148" xfId="1" applyNumberFormat="1" applyFont="1" applyBorder="1" applyAlignment="1">
      <alignment horizontal="center"/>
    </xf>
    <xf numFmtId="168" fontId="99" fillId="0" borderId="171" xfId="1" applyNumberFormat="1" applyFont="1" applyBorder="1" applyAlignment="1">
      <alignment horizontal="right"/>
    </xf>
    <xf numFmtId="0" fontId="1" fillId="0" borderId="61" xfId="1" applyBorder="1"/>
    <xf numFmtId="0" fontId="92" fillId="0" borderId="0" xfId="31" applyFont="1" applyBorder="1" applyAlignment="1">
      <alignment horizontal="center"/>
    </xf>
    <xf numFmtId="0" fontId="21" fillId="23" borderId="0" xfId="32" applyFont="1" applyFill="1" applyBorder="1" applyAlignment="1" applyProtection="1">
      <alignment horizontal="centerContinuous"/>
      <protection locked="0"/>
    </xf>
    <xf numFmtId="4" fontId="21" fillId="5" borderId="19" xfId="32" applyNumberFormat="1" applyFont="1" applyFill="1" applyBorder="1" applyAlignment="1" applyProtection="1">
      <alignment horizontal="center"/>
      <protection locked="0"/>
    </xf>
    <xf numFmtId="4" fontId="1" fillId="0" borderId="19" xfId="33" applyNumberFormat="1" applyBorder="1" applyAlignment="1">
      <alignment horizontal="center"/>
    </xf>
    <xf numFmtId="0" fontId="101" fillId="0" borderId="0" xfId="32" applyFont="1" applyBorder="1" applyProtection="1">
      <protection locked="0"/>
    </xf>
    <xf numFmtId="4" fontId="19" fillId="0" borderId="19" xfId="33" applyNumberFormat="1" applyFont="1" applyBorder="1" applyAlignment="1">
      <alignment horizontal="center"/>
    </xf>
    <xf numFmtId="0" fontId="20" fillId="0" borderId="0" xfId="32" applyFont="1" applyBorder="1" applyProtection="1">
      <protection locked="0"/>
    </xf>
    <xf numFmtId="44" fontId="19" fillId="0" borderId="19" xfId="33" applyNumberFormat="1" applyFont="1" applyBorder="1" applyAlignment="1">
      <alignment horizontal="center"/>
    </xf>
    <xf numFmtId="0" fontId="19" fillId="0" borderId="0" xfId="32" applyFont="1" applyBorder="1" applyProtection="1">
      <protection locked="0"/>
    </xf>
    <xf numFmtId="44" fontId="19" fillId="0" borderId="19" xfId="34" applyNumberFormat="1" applyFont="1" applyBorder="1" applyAlignment="1" applyProtection="1">
      <alignment horizontal="center"/>
      <protection locked="0"/>
    </xf>
    <xf numFmtId="44" fontId="19" fillId="0" borderId="40" xfId="32" applyNumberFormat="1" applyFont="1" applyBorder="1" applyAlignment="1" applyProtection="1">
      <alignment horizontal="center"/>
      <protection locked="0"/>
    </xf>
    <xf numFmtId="0" fontId="107" fillId="0" borderId="0" xfId="32" applyFont="1" applyBorder="1" applyProtection="1">
      <protection locked="0"/>
    </xf>
    <xf numFmtId="0" fontId="21" fillId="0" borderId="0" xfId="32" applyFont="1" applyBorder="1" applyProtection="1">
      <protection locked="0"/>
    </xf>
    <xf numFmtId="0" fontId="1" fillId="0" borderId="0" xfId="32" applyFont="1" applyBorder="1" applyProtection="1">
      <protection locked="0"/>
    </xf>
    <xf numFmtId="0" fontId="21" fillId="0" borderId="0" xfId="32" applyFont="1" applyBorder="1" applyAlignment="1" applyProtection="1">
      <alignment horizontal="center"/>
      <protection locked="0"/>
    </xf>
    <xf numFmtId="4" fontId="1" fillId="0" borderId="0" xfId="32" applyNumberFormat="1" applyFont="1" applyBorder="1" applyAlignment="1" applyProtection="1">
      <alignment horizontal="center"/>
      <protection locked="0"/>
    </xf>
    <xf numFmtId="4" fontId="1" fillId="0" borderId="40" xfId="32" applyNumberFormat="1" applyFont="1" applyBorder="1" applyAlignment="1" applyProtection="1">
      <alignment horizontal="center"/>
      <protection locked="0"/>
    </xf>
    <xf numFmtId="0" fontId="3" fillId="0" borderId="146" xfId="4" applyFont="1" applyBorder="1" applyAlignment="1">
      <alignment horizontal="left"/>
    </xf>
    <xf numFmtId="0" fontId="3" fillId="0" borderId="81" xfId="4" applyFont="1" applyBorder="1" applyAlignment="1">
      <alignment horizontal="left"/>
    </xf>
    <xf numFmtId="0" fontId="3" fillId="0" borderId="81" xfId="4" applyFont="1" applyBorder="1"/>
    <xf numFmtId="44" fontId="3" fillId="0" borderId="185" xfId="12" applyFont="1" applyBorder="1" applyAlignment="1">
      <alignment horizontal="right"/>
    </xf>
    <xf numFmtId="0" fontId="3" fillId="0" borderId="146" xfId="4" applyFont="1" applyBorder="1"/>
    <xf numFmtId="0" fontId="3" fillId="0" borderId="81" xfId="4" applyFont="1" applyBorder="1" applyAlignment="1">
      <alignment horizontal="left"/>
    </xf>
    <xf numFmtId="0" fontId="3" fillId="0" borderId="146" xfId="4" applyFont="1" applyBorder="1" applyAlignment="1">
      <alignment vertical="center"/>
    </xf>
    <xf numFmtId="0" fontId="3" fillId="0" borderId="81" xfId="4" applyFont="1" applyBorder="1" applyAlignment="1">
      <alignment horizontal="left" wrapText="1"/>
    </xf>
    <xf numFmtId="0" fontId="3" fillId="0" borderId="186" xfId="4" applyFont="1" applyBorder="1" applyAlignment="1">
      <alignment horizontal="left" wrapText="1"/>
    </xf>
    <xf numFmtId="0" fontId="3" fillId="0" borderId="44" xfId="4" applyFont="1" applyBorder="1" applyAlignment="1">
      <alignment horizontal="left"/>
    </xf>
    <xf numFmtId="0" fontId="3" fillId="0" borderId="61" xfId="4" applyFont="1" applyBorder="1" applyAlignment="1">
      <alignment horizontal="left"/>
    </xf>
    <xf numFmtId="0" fontId="3" fillId="0" borderId="61" xfId="4" applyFont="1" applyBorder="1"/>
    <xf numFmtId="44" fontId="3" fillId="0" borderId="183" xfId="12" applyFont="1" applyBorder="1" applyAlignment="1">
      <alignment horizontal="right"/>
    </xf>
    <xf numFmtId="0" fontId="3" fillId="0" borderId="41" xfId="4" applyFont="1" applyBorder="1" applyAlignment="1">
      <alignment horizontal="left"/>
    </xf>
    <xf numFmtId="0" fontId="3" fillId="0" borderId="36" xfId="4" applyFont="1" applyBorder="1" applyAlignment="1">
      <alignment horizontal="left"/>
    </xf>
    <xf numFmtId="0" fontId="3" fillId="0" borderId="36" xfId="4" applyFont="1" applyBorder="1"/>
    <xf numFmtId="44" fontId="3" fillId="0" borderId="187" xfId="4" applyNumberFormat="1" applyFont="1" applyBorder="1"/>
    <xf numFmtId="0" fontId="3" fillId="0" borderId="146" xfId="4" applyFont="1" applyBorder="1" applyAlignment="1">
      <alignment horizontal="left"/>
    </xf>
    <xf numFmtId="44" fontId="3" fillId="0" borderId="185" xfId="12" applyFont="1" applyFill="1" applyBorder="1" applyAlignment="1">
      <alignment horizontal="right"/>
    </xf>
    <xf numFmtId="44" fontId="3" fillId="0" borderId="187" xfId="12" applyFont="1" applyBorder="1" applyAlignment="1">
      <alignment horizontal="right"/>
    </xf>
    <xf numFmtId="0" fontId="4" fillId="0" borderId="146" xfId="4" applyFont="1" applyBorder="1" applyAlignment="1">
      <alignment horizontal="left"/>
    </xf>
    <xf numFmtId="0" fontId="3" fillId="0" borderId="186" xfId="4" applyFont="1" applyBorder="1"/>
    <xf numFmtId="0" fontId="4" fillId="0" borderId="146" xfId="4" applyFont="1" applyBorder="1" applyAlignment="1">
      <alignment horizontal="left"/>
    </xf>
    <xf numFmtId="0" fontId="4" fillId="0" borderId="81" xfId="4" applyFont="1" applyBorder="1" applyAlignment="1">
      <alignment horizontal="left"/>
    </xf>
    <xf numFmtId="4" fontId="3" fillId="0" borderId="185" xfId="4" applyNumberFormat="1" applyFont="1" applyBorder="1" applyAlignment="1">
      <alignment horizontal="right"/>
    </xf>
    <xf numFmtId="44" fontId="4" fillId="0" borderId="188" xfId="12" applyFont="1" applyBorder="1" applyAlignment="1">
      <alignment horizontal="right"/>
    </xf>
  </cellXfs>
  <cellStyles count="37">
    <cellStyle name="Comma" xfId="20" builtinId="3"/>
    <cellStyle name="Comma 2" xfId="10"/>
    <cellStyle name="Comma 2 4" xfId="34"/>
    <cellStyle name="Comma 3" xfId="9"/>
    <cellStyle name="Comma 3 2" xfId="15"/>
    <cellStyle name="Comma 3 3" xfId="29"/>
    <cellStyle name="Comma 4" xfId="13"/>
    <cellStyle name="Comma 5" xfId="26"/>
    <cellStyle name="Comma0" xfId="5"/>
    <cellStyle name="Comma0 2" xfId="6"/>
    <cellStyle name="Comma0 2 2" xfId="33"/>
    <cellStyle name="Currency" xfId="12" builtinId="4"/>
    <cellStyle name="Currency 2" xfId="2"/>
    <cellStyle name="Currency 3" xfId="30"/>
    <cellStyle name="F2 2" xfId="25"/>
    <cellStyle name="Normal" xfId="0" builtinId="0"/>
    <cellStyle name="Normal 15 2" xfId="18"/>
    <cellStyle name="Normal 2" xfId="1"/>
    <cellStyle name="Normal 2 2" xfId="7"/>
    <cellStyle name="Normal 2 3" xfId="24"/>
    <cellStyle name="Normal 2 4" xfId="32"/>
    <cellStyle name="Normal 3" xfId="4"/>
    <cellStyle name="Normal 3 2" xfId="17"/>
    <cellStyle name="Normal 3 3" xfId="23"/>
    <cellStyle name="Normal 4" xfId="11"/>
    <cellStyle name="Normal 4 2" xfId="16"/>
    <cellStyle name="Normal 40" xfId="28"/>
    <cellStyle name="Normal 5" xfId="21"/>
    <cellStyle name="Normal 5 2" xfId="27"/>
    <cellStyle name="Normal 7 2" xfId="31"/>
    <cellStyle name="Normal_CERTIFICATE MOPANI - Attach Cert 1" xfId="14"/>
    <cellStyle name="Normal_Evaluation-Devland Phase 1" xfId="22"/>
    <cellStyle name="Normal_Original BoQ - 25 June 2004 2" xfId="36"/>
    <cellStyle name="Normal_ws 5343 contract totals" xfId="19"/>
    <cellStyle name="Percent" xfId="8" builtinId="5"/>
    <cellStyle name="Percent 2" xfId="3"/>
    <cellStyle name="Percent 3"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externalLink" Target="externalLinks/externalLink2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2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ma\1-Alma\1-Data%20Files\VORMS\Design\pumpcurv.WK4"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esighede\CivilPro's\CivilPro's%20Fakture\INVOICE06%20-%20CivilPro's%20-%20Six%20Villages%20Flood%20Lin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asilo\AppData\Local\Microsoft\Windows\Temporary%20Internet%20Files\Content.Outlook\LNZD48H1\Data\Besighede\CivilPro's\CivilPro's%20Fakture\INVOICE06%20-%20CivilPro's%20-%20Six%20Villages%20Flood%20Lin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br-laptop\1-active\Documents%20and%20Settings\Issi\My%20Documents\BENOTH\CONTRACTS\BUILDING\B002%20MODITLO%20ECO%20LODGE\COSTING\2BED%20UNIT\Documents%20and%20Settings\Ben%20Liebenbrg\Desktop\invoice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Backup\Desktop\Mem%20Stick\MBE\Mpumalang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ma\1-Active\Pricing%20Database\Rate%20Design\MYPD3%20Feb2012\1Scen16correct\201213\4.Rates\TRP%20Retail%20Rates%20201213%20-%20ESS-v20121006.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sampie.shivambu\My%20Documents\TN%20600%20files\TN%20600\JW%207099\Maseno%20Certificate%20No%204%20%20Revis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My%20Documents/PROJEKTE/ATENDERS/VRYHEID/PROJEKTE/ATENDERS/MASTERS/BILL.WQ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ma\1-Active\Documents%20and%20Settings\MotsosTB\Local%20Settings\Temporary%20Internet%20Files\Content.Outlook\71IQ4673\Rates%20DUoS%20&amp;%20TRP%202009-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lma\alma\Data%20Files\BOSBOK\MARITE\Marite%202001%20QT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asilo\AppData\Local\Microsoft\Windows\Temporary%20Internet%20Files\Content.Outlook\LNZD48H1\Documents%20and%20Settings\user03\Local%20Settings\Temporary%20Internet%20Files\OLK5\Monthly%20report(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rtaljaard\Local%20Settings\Temporary%20Internet%20Files\OLK37\Cashflow%20S108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honifho\LIS500\JW5255%20&amp;%20JW5256\Indlovu%20Consortium\Technical%20Section\Claims\Certificate%207\Payment%20Certificate%20No(7).%20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rector\my%20documents\~General\CDM\Manual%20Feb%202003\Monthly%20report(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ries\c\Data%20Files\Maruleng\Kampersrust\Kampersrus%20Cost%20Estimat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Cert%2014\ENG0002%20-%20Interim%20Payment%20Certicate%2014%201212201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lma\1-Active\1-Act-MNON\1306A0-Moletjie%20North%20RWS\40-design_survey_&amp;_reports\45-reports\O%20&amp;%20M%20electricity%20tarif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iPPBLOEM\OneDrive\Desktop\MAPHALLE%20LAND%20FILL&amp;%20Interse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ma\1-Alma\1-Data%20Files\VORMS\Design\syscurve.WK4"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jects\2021%20-%20RAL%20C364%20-%20Rehab%20of%20Road%20P98_2%20-%20Phase%202\Admin%20Data\Contract%20Admin\Quantities\PROJECTS\AA%20P98.2\PHASE%202\EVALUATION%20TENDER%202021%20Schedule%20of%20Quantities_re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ma\1-Active\Work\TRP\2009-10\1Apr09\TRP%20Retail%20Rates%202009-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iem\1_Adata\DOCUME~1\EVN-BBR1\LOCALS~1\Temp\INVOICEmaster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silo\AppData\Local\Microsoft\Windows\Temporary%20Internet%20Files\Content.Outlook\LNZD48H1\Projects\T0701-GTM%20Upgrading%20of%20Ntoampe%20Sports%20Facility\Professional%20fee%20Claims\Invoice%20No.%201%20-%20Ntoampe%20Sports%20fiel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ampie\Downloads\A-Data\9514%20L0%20-%20Olifants%20Phase%205%20LNW\Certificates\INVOICEmaster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lma\1-Alma\2007\2007%20PROJECTS\9514P0%20Olifantspoort%20Phase%206\Olifantspoort%20Doc%201\QTY%20Contrac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4">
          <cell r="B4">
            <v>102</v>
          </cell>
          <cell r="C4">
            <v>102.04909468938949</v>
          </cell>
          <cell r="D4">
            <v>102.17698644609604</v>
          </cell>
          <cell r="E4">
            <v>102.37472169505121</v>
          </cell>
          <cell r="F4">
            <v>102.63803646567959</v>
          </cell>
          <cell r="G4">
            <v>102.96411541050001</v>
          </cell>
          <cell r="H4">
            <v>103.35087240406088</v>
          </cell>
          <cell r="I4">
            <v>103.79665996582153</v>
          </cell>
          <cell r="J4">
            <v>104.30012263942524</v>
          </cell>
          <cell r="K4">
            <v>104.86011278385085</v>
          </cell>
          <cell r="L4">
            <v>105.47563783889348</v>
          </cell>
          <cell r="M4">
            <v>106.14582517332767</v>
          </cell>
          <cell r="N4">
            <v>106.86989751635228</v>
          </cell>
          <cell r="O4">
            <v>107.64715513373794</v>
          </cell>
          <cell r="P4">
            <v>108.47696250140405</v>
          </cell>
          <cell r="Q4">
            <v>109.35873809041627</v>
          </cell>
          <cell r="R4">
            <v>110.29194637137458</v>
          </cell>
          <cell r="S4">
            <v>111.27609144331271</v>
          </cell>
          <cell r="T4">
            <v>112.3107118782589</v>
          </cell>
          <cell r="U4">
            <v>113.39537649309251</v>
          </cell>
          <cell r="V4">
            <v>114.52968084068183</v>
          </cell>
          <cell r="W4">
            <v>115.71324426726054</v>
          </cell>
          <cell r="X4">
            <v>116.94570742146071</v>
          </cell>
          <cell r="Y4">
            <v>118.22673012786936</v>
          </cell>
          <cell r="Z4">
            <v>119.5559895579193</v>
          </cell>
          <cell r="AA4">
            <v>120.93317864564577</v>
          </cell>
          <cell r="AB4">
            <v>122.35800470686577</v>
          </cell>
          <cell r="AC4">
            <v>123.83018822870423</v>
          </cell>
          <cell r="AD4">
            <v>125.34946180281355</v>
          </cell>
        </row>
        <row r="5">
          <cell r="B5">
            <v>0</v>
          </cell>
          <cell r="C5">
            <v>5</v>
          </cell>
          <cell r="D5">
            <v>10</v>
          </cell>
          <cell r="E5">
            <v>15</v>
          </cell>
          <cell r="F5">
            <v>20</v>
          </cell>
          <cell r="G5">
            <v>25</v>
          </cell>
          <cell r="H5">
            <v>30</v>
          </cell>
          <cell r="I5">
            <v>35</v>
          </cell>
          <cell r="J5">
            <v>40</v>
          </cell>
          <cell r="K5">
            <v>45</v>
          </cell>
          <cell r="L5">
            <v>50</v>
          </cell>
          <cell r="M5">
            <v>55</v>
          </cell>
          <cell r="N5">
            <v>60</v>
          </cell>
          <cell r="O5">
            <v>65</v>
          </cell>
          <cell r="P5">
            <v>70</v>
          </cell>
          <cell r="Q5">
            <v>75</v>
          </cell>
          <cell r="R5">
            <v>80</v>
          </cell>
          <cell r="S5">
            <v>85</v>
          </cell>
          <cell r="T5">
            <v>90</v>
          </cell>
          <cell r="U5">
            <v>95</v>
          </cell>
          <cell r="V5">
            <v>100</v>
          </cell>
          <cell r="W5">
            <v>105</v>
          </cell>
          <cell r="X5">
            <v>110</v>
          </cell>
          <cell r="Y5">
            <v>115</v>
          </cell>
          <cell r="Z5">
            <v>120</v>
          </cell>
          <cell r="AA5">
            <v>125</v>
          </cell>
          <cell r="AB5">
            <v>130</v>
          </cell>
          <cell r="AC5">
            <v>135</v>
          </cell>
          <cell r="AD5">
            <v>140</v>
          </cell>
        </row>
        <row r="9">
          <cell r="C9" t="str">
            <v>DEPARTMENT OF WATER AFFAIRS  :  NORTHERN PROVINCE</v>
          </cell>
        </row>
        <row r="10">
          <cell r="C10" t="str">
            <v>COMMUNITY WATER SUPPLY &amp; SANITATION</v>
          </cell>
        </row>
        <row r="11">
          <cell r="C11" t="str">
            <v>RDP NO. 04 NP 007</v>
          </cell>
        </row>
        <row r="12">
          <cell r="C12" t="str">
            <v xml:space="preserve">GIYANI WATERWORKS SATELLITE PUMPSTATION </v>
          </cell>
        </row>
        <row r="13">
          <cell r="C13" t="str">
            <v>SYSTEM CURVE</v>
          </cell>
        </row>
        <row r="15">
          <cell r="D15" t="str">
            <v>OPERATING REQUIREMENTS FOR ELECTRICALLY DRIVEN HORISONTAL SPLIT CASE CENTRIFUGAL PUMPS</v>
          </cell>
        </row>
        <row r="16">
          <cell r="D16" t="str">
            <v>NOTE :</v>
          </cell>
          <cell r="E16" t="str">
            <v>1,  PUMP CHARACTERISTIC CURVES TO BE COMPLETED BY TENDERER.</v>
          </cell>
        </row>
        <row r="17">
          <cell r="E17" t="str">
            <v>2.  REQUIRED DUTY POINT FOR SINGLE PUMP</v>
          </cell>
        </row>
        <row r="18">
          <cell r="E18" t="str">
            <v xml:space="preserve">     OPERATION  =  102   l  /  s   @   115  m  water</v>
          </cell>
        </row>
        <row r="19">
          <cell r="E19" t="str">
            <v>3.  PUMP WILL BE PROTECTED FROM RUN - OUT  BY PRESSURE SUSTAINING</v>
          </cell>
        </row>
        <row r="20">
          <cell r="E20" t="str">
            <v xml:space="preserve">     VALVE LOCATED AT DISCHARGE SIDE OF PUMP SET AT</v>
          </cell>
        </row>
        <row r="21">
          <cell r="E21" t="str">
            <v xml:space="preserve">     SUSTAINING PRESSURE OF  1025  kPa.</v>
          </cell>
        </row>
        <row r="49">
          <cell r="C49" t="str">
            <v xml:space="preserve">GIYANI WATERWORKS </v>
          </cell>
          <cell r="F49" t="str">
            <v>EKSTEEN, VAN DER WALT &amp; NISSEN</v>
          </cell>
          <cell r="K49" t="str">
            <v>VEL NR</v>
          </cell>
        </row>
        <row r="50">
          <cell r="C50" t="str">
            <v>SATELLITE PUMPSTATION</v>
          </cell>
          <cell r="F50" t="str">
            <v>INTERNATIONAL  ( PTY ) LTD. Reg. No. 93/02026/07</v>
          </cell>
          <cell r="K50" t="str">
            <v>SHEET NO</v>
          </cell>
        </row>
        <row r="51">
          <cell r="C51" t="str">
            <v>LOCALITY NO.</v>
          </cell>
          <cell r="F51" t="str">
            <v>RAADGEWENDE INGENIEURS</v>
          </cell>
          <cell r="K51" t="str">
            <v>8102</v>
          </cell>
        </row>
        <row r="52">
          <cell r="C52" t="str">
            <v>SYSTEM CURVE</v>
          </cell>
          <cell r="F52" t="str">
            <v>CONSULTING ENGINEERS</v>
          </cell>
          <cell r="K52" t="str">
            <v xml:space="preserve">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ow r="15">
          <cell r="E15" t="str">
            <v/>
          </cell>
        </row>
        <row r="22">
          <cell r="E22" t="str">
            <v>VAT</v>
          </cell>
        </row>
        <row r="23">
          <cell r="E23">
            <v>0</v>
          </cell>
        </row>
        <row r="24">
          <cell r="D24" t="b">
            <v>0</v>
          </cell>
        </row>
        <row r="28">
          <cell r="D28" t="b">
            <v>0</v>
          </cell>
        </row>
      </sheetData>
      <sheetData sheetId="2">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ow r="15">
          <cell r="E15">
            <v>0</v>
          </cell>
        </row>
        <row r="22">
          <cell r="E22" t="str">
            <v>VAT</v>
          </cell>
        </row>
        <row r="23">
          <cell r="E23">
            <v>0</v>
          </cell>
        </row>
        <row r="24">
          <cell r="D24" t="b">
            <v>0</v>
          </cell>
        </row>
        <row r="28">
          <cell r="D28" t="b">
            <v>0</v>
          </cell>
        </row>
      </sheetData>
      <sheetData sheetId="2">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invoi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Mpumalanga"/>
    </sheetNames>
    <sheetDataSet>
      <sheetData sheetId="0" refreshError="1"/>
      <sheetData sheetId="1" refreshError="1">
        <row r="15">
          <cell r="E15" t="str">
            <v>Limpopo</v>
          </cell>
        </row>
        <row r="22">
          <cell r="E22" t="str">
            <v>VAT</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 Log"/>
      <sheetName val="Revenue recovery"/>
      <sheetName val="Subsidy"/>
      <sheetName val="Volumes summary"/>
      <sheetName val="Pure cost summary"/>
      <sheetName val="ESS recon"/>
      <sheetName val="WEPS design"/>
      <sheetName val="Megaflex design"/>
      <sheetName val="Miniflex design"/>
      <sheetName val="Nightsave Large design"/>
      <sheetName val="Nightsave Small design"/>
      <sheetName val="Nightsave Rural design"/>
      <sheetName val="Transflex 1 design"/>
      <sheetName val="Transflex 2 design"/>
      <sheetName val="Ruraflex design"/>
      <sheetName val="Businessrate design"/>
      <sheetName val="Landrate design"/>
      <sheetName val="Public Lighting design"/>
      <sheetName val="Landlight"/>
      <sheetName val="Landlight design"/>
      <sheetName val="Chart1"/>
      <sheetName val="Homelight design"/>
      <sheetName val="Homepower design"/>
      <sheetName val="IBT data from 2010"/>
      <sheetName val="Homeflex design"/>
      <sheetName val="RIM data"/>
      <sheetName val="Rural DUoS design "/>
      <sheetName val="Urban DUoS design"/>
      <sheetName val="Homelight DUoS design"/>
      <sheetName val="Homepower DUoS design"/>
      <sheetName val="Calcs"/>
      <sheetName val="Loss Factors"/>
      <sheetName val="Labels"/>
      <sheetName val="EskRateMatrixRD"/>
      <sheetName val="EskMunRateMatrixRD"/>
      <sheetName val="RateMatrixRD"/>
      <sheetName val="MunRateMatrixRD"/>
      <sheetName val="Char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88">
          <cell r="B88" t="b">
            <v>1</v>
          </cell>
        </row>
        <row r="89">
          <cell r="B89" t="b">
            <v>1</v>
          </cell>
        </row>
        <row r="105">
          <cell r="H105">
            <v>2</v>
          </cell>
        </row>
      </sheetData>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tion"/>
      <sheetName val="Progress"/>
      <sheetName val="Consultant _1"/>
      <sheetName val="Consultant _2"/>
      <sheetName val="Consultant _3"/>
      <sheetName val="Maseno General Trade"/>
      <sheetName val="Contractor _2"/>
      <sheetName val="Contractor _3"/>
      <sheetName val="EPWP _1"/>
      <sheetName val="EPWP _2"/>
      <sheetName val="EPWP _3"/>
      <sheetName val="Orders"/>
      <sheetName val="FA1"/>
      <sheetName val="Invoice"/>
      <sheetName val="SECTION 1 P _ G"/>
      <sheetName val="SECTION 2 BULK EARTWORKS"/>
      <sheetName val="SECTION 3 WATER RETICULATION"/>
      <sheetName val="Chart1"/>
      <sheetName val="SUMMARY OF BOQ"/>
      <sheetName val="Summary"/>
      <sheetName val="Function Assist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efinitions"/>
      <sheetName val="Network Cost"/>
      <sheetName val="Network Volume"/>
      <sheetName val="Retail Service"/>
      <sheetName val="Subsidy"/>
      <sheetName val="Conn &amp; kvarh"/>
      <sheetName val="AdminCost"/>
      <sheetName val="ServiceCost"/>
      <sheetName val="ETUoS"/>
      <sheetName val="ETUoS Vz"/>
      <sheetName val="Urban Network"/>
      <sheetName val="Rural Network"/>
      <sheetName val="Res HL Network"/>
      <sheetName val="Res HP Network"/>
      <sheetName val="Losses"/>
      <sheetName val="Reactive Energy"/>
      <sheetName val="Reliability Serv ckWh"/>
      <sheetName val="Reliability Serv RkVA"/>
      <sheetName val="ERS"/>
      <sheetName val="Retail Contribution"/>
      <sheetName val="Admin"/>
      <sheetName val="Service"/>
      <sheetName val="WEPS Energy"/>
      <sheetName val="SPA Energy"/>
      <sheetName val="Megaflex Energy"/>
      <sheetName val="NS Large Energy"/>
      <sheetName val="NS Small Energy"/>
      <sheetName val="NS Comb Energy"/>
      <sheetName val="Miniflex Energy"/>
      <sheetName val="NS Rural Energy"/>
      <sheetName val="Ruraflex Energy"/>
      <sheetName val="Transflex 1 Energy"/>
      <sheetName val="Transflex 2 Energy"/>
      <sheetName val="DUoS Rates"/>
      <sheetName val="DUoS Rates 20089"/>
      <sheetName val="DUoS Rates Previous"/>
      <sheetName val="DUoS Rate Increase"/>
      <sheetName val="DUoS Rate Inc 78=&gt;89"/>
      <sheetName val="DUoS Rate Inc 78=&gt;89 (2)"/>
      <sheetName val="Cost recovery summary"/>
      <sheetName val="ReCon"/>
      <sheetName val="Tariff Volume"/>
      <sheetName val="Access"/>
      <sheetName val="Access 7-8Inc"/>
      <sheetName val="Access rate Matrix"/>
      <sheetName val="Access LPU Matrix"/>
      <sheetName val="Access SPU Matrix"/>
      <sheetName val="Access 89 old structure"/>
      <sheetName val="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8">
          <cell r="C8" t="b">
            <v>0</v>
          </cell>
        </row>
        <row r="13">
          <cell r="G13">
            <v>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1"/>
      <sheetName val="SCHED2"/>
      <sheetName val="SCHED3"/>
      <sheetName val="SCHED4"/>
      <sheetName val="SCHED5"/>
      <sheetName val="SCHED6"/>
      <sheetName val="SCHED7"/>
      <sheetName val="SCHED8"/>
      <sheetName val="SCHED9"/>
      <sheetName val="SCHED 10"/>
    </sheetNames>
    <sheetDataSet>
      <sheetData sheetId="0"/>
      <sheetData sheetId="1"/>
      <sheetData sheetId="2">
        <row r="1">
          <cell r="A1" t="str">
            <v>RAND WATER</v>
          </cell>
          <cell r="H1" t="str">
            <v>Schedule 3.</v>
          </cell>
        </row>
        <row r="2">
          <cell r="A2" t="str">
            <v>BUSHBUCKRIDGE INFRASTRUCTURE DEVELOPMENT</v>
          </cell>
          <cell r="H2" t="str">
            <v>Gravity Main</v>
          </cell>
        </row>
        <row r="3">
          <cell r="A3" t="str">
            <v>MARITE WATER PROJECT  :   NP 123</v>
          </cell>
          <cell r="H3" t="str">
            <v>Oakley Low to</v>
          </cell>
        </row>
        <row r="4">
          <cell r="A4" t="str">
            <v>SCHEDULE 3.   :   GRAVITY MAIN OAKLEY LOW TO OAKLEY HIGH LEVEL</v>
          </cell>
          <cell r="H4" t="str">
            <v>Oakley High Level</v>
          </cell>
        </row>
        <row r="5">
          <cell r="A5" t="str">
            <v>ITEM</v>
          </cell>
          <cell r="B5" t="str">
            <v>PAYM.</v>
          </cell>
          <cell r="C5" t="str">
            <v>DESCRIPTION</v>
          </cell>
          <cell r="E5" t="str">
            <v>UNIT</v>
          </cell>
          <cell r="F5" t="str">
            <v>QUANT.</v>
          </cell>
          <cell r="G5" t="str">
            <v>RATE</v>
          </cell>
          <cell r="H5" t="str">
            <v>AMOUNT</v>
          </cell>
        </row>
        <row r="6">
          <cell r="A6" t="str">
            <v>NO.</v>
          </cell>
          <cell r="B6" t="str">
            <v>REF.</v>
          </cell>
        </row>
        <row r="8">
          <cell r="B8" t="str">
            <v>SABS</v>
          </cell>
        </row>
        <row r="9">
          <cell r="A9">
            <v>3.1</v>
          </cell>
          <cell r="B9" t="str">
            <v>1200DB</v>
          </cell>
          <cell r="C9" t="str">
            <v>SITE CLEARANCE</v>
          </cell>
        </row>
        <row r="10">
          <cell r="A10" t="str">
            <v>3.1.1</v>
          </cell>
          <cell r="B10" t="str">
            <v>8.3.a)</v>
          </cell>
          <cell r="C10" t="str">
            <v>a)</v>
          </cell>
          <cell r="D10" t="str">
            <v>Clear vegetation and trees of girth up to 1m</v>
          </cell>
          <cell r="E10" t="str">
            <v>m</v>
          </cell>
          <cell r="F10">
            <v>3000</v>
          </cell>
        </row>
        <row r="12">
          <cell r="A12" t="str">
            <v>3.1.2</v>
          </cell>
          <cell r="B12" t="str">
            <v>8.3.b)</v>
          </cell>
          <cell r="C12" t="str">
            <v>b)</v>
          </cell>
          <cell r="D12" t="str">
            <v>Clear trees of girth over 1m (Provisional)</v>
          </cell>
          <cell r="E12" t="str">
            <v>no</v>
          </cell>
          <cell r="F12">
            <v>5</v>
          </cell>
        </row>
        <row r="14">
          <cell r="B14" t="str">
            <v>SABS</v>
          </cell>
          <cell r="C14">
            <v>0</v>
          </cell>
        </row>
        <row r="15">
          <cell r="A15">
            <v>3.2</v>
          </cell>
          <cell r="B15" t="str">
            <v>1200DB</v>
          </cell>
          <cell r="C15" t="str">
            <v>EXCAVATION</v>
          </cell>
        </row>
        <row r="16">
          <cell r="A16" t="str">
            <v>3.2.1</v>
          </cell>
          <cell r="B16" t="str">
            <v>8.3.2a)</v>
          </cell>
          <cell r="C16" t="str">
            <v>Excavation with manual labour in pickable material</v>
          </cell>
        </row>
        <row r="17">
          <cell r="C17" t="str">
            <v>for trenches for 250 DN pipes and smaller. Rates to</v>
          </cell>
        </row>
        <row r="18">
          <cell r="C18" t="str">
            <v>include backfill, compact and dispose of surplus</v>
          </cell>
        </row>
        <row r="19">
          <cell r="C19" t="str">
            <v>material</v>
          </cell>
        </row>
        <row r="20">
          <cell r="C20" t="str">
            <v>a)</v>
          </cell>
          <cell r="D20" t="str">
            <v>Up to 1,5m deep</v>
          </cell>
          <cell r="E20" t="str">
            <v>m</v>
          </cell>
        </row>
        <row r="22">
          <cell r="C22" t="str">
            <v>b)</v>
          </cell>
          <cell r="D22" t="str">
            <v>Over 1,5m up to 2,5m deep (Provisional)</v>
          </cell>
          <cell r="E22" t="str">
            <v>m</v>
          </cell>
        </row>
        <row r="24">
          <cell r="A24" t="str">
            <v>3.2.2</v>
          </cell>
          <cell r="B24" t="str">
            <v>8.3.2a)</v>
          </cell>
          <cell r="C24" t="str">
            <v>Excavation in all materials for trenches for 250 DN</v>
          </cell>
        </row>
        <row r="25">
          <cell r="C25" t="str">
            <v xml:space="preserve">pipes and smaller with mechanical equipment.  Rates </v>
          </cell>
        </row>
        <row r="26">
          <cell r="C26" t="str">
            <v>to include dispose of surplus material</v>
          </cell>
        </row>
        <row r="27">
          <cell r="C27" t="str">
            <v>a)</v>
          </cell>
          <cell r="D27" t="str">
            <v>Up to 1,5m deep</v>
          </cell>
          <cell r="E27" t="str">
            <v>m</v>
          </cell>
          <cell r="F27">
            <v>2470</v>
          </cell>
        </row>
        <row r="29">
          <cell r="C29" t="str">
            <v>b)</v>
          </cell>
          <cell r="D29" t="str">
            <v>Over 1,5m up to 2,5m deep (Provisional)</v>
          </cell>
          <cell r="E29" t="str">
            <v>m</v>
          </cell>
          <cell r="F29">
            <v>50</v>
          </cell>
        </row>
        <row r="31">
          <cell r="A31" t="str">
            <v>3.2.3</v>
          </cell>
          <cell r="B31" t="str">
            <v>8.3.2a)</v>
          </cell>
          <cell r="C31" t="str">
            <v>Backfill and compact materials with manual labour</v>
          </cell>
        </row>
        <row r="32">
          <cell r="C32" t="str">
            <v>item 3.2.2</v>
          </cell>
          <cell r="E32" t="str">
            <v>m</v>
          </cell>
        </row>
        <row r="34">
          <cell r="A34" t="str">
            <v>3.2.4</v>
          </cell>
          <cell r="B34" t="str">
            <v>8.3.2b)</v>
          </cell>
          <cell r="C34" t="str">
            <v>Extra-over item 3.2.1 and 3.2.2 for</v>
          </cell>
        </row>
        <row r="35">
          <cell r="C35" t="str">
            <v>a)</v>
          </cell>
          <cell r="D35" t="str">
            <v>Intermediate excavation (Prov.)</v>
          </cell>
          <cell r="E35" t="str">
            <v>m³</v>
          </cell>
          <cell r="F35">
            <v>600</v>
          </cell>
        </row>
        <row r="37">
          <cell r="C37" t="str">
            <v>b)</v>
          </cell>
          <cell r="D37" t="str">
            <v>Hard rock excavation (Prov.)</v>
          </cell>
          <cell r="E37" t="str">
            <v>m³</v>
          </cell>
          <cell r="F37">
            <v>300</v>
          </cell>
        </row>
        <row r="39">
          <cell r="A39" t="str">
            <v>3.2.5</v>
          </cell>
          <cell r="B39" t="str">
            <v>8.3.2c)</v>
          </cell>
          <cell r="C39" t="str">
            <v>Excavate and dispose of unsuitable material from</v>
          </cell>
        </row>
        <row r="40">
          <cell r="C40" t="str">
            <v>trench bottom (Prov.)</v>
          </cell>
          <cell r="E40" t="str">
            <v>m³</v>
          </cell>
          <cell r="F40">
            <v>600</v>
          </cell>
        </row>
        <row r="42">
          <cell r="A42" t="str">
            <v>3.2.6</v>
          </cell>
          <cell r="B42" t="str">
            <v>8.3.3.b)</v>
          </cell>
          <cell r="C42" t="str">
            <v xml:space="preserve">Import backfill material from designated borrow </v>
          </cell>
        </row>
        <row r="43">
          <cell r="C43" t="str">
            <v>pits (Provisional)</v>
          </cell>
          <cell r="E43" t="str">
            <v>m³</v>
          </cell>
          <cell r="F43">
            <v>600</v>
          </cell>
        </row>
        <row r="45">
          <cell r="A45" t="str">
            <v>3.2.7</v>
          </cell>
          <cell r="B45" t="str">
            <v>8.3.3.2</v>
          </cell>
          <cell r="C45" t="str">
            <v xml:space="preserve">Opening up and closing down of designated </v>
          </cell>
        </row>
        <row r="46">
          <cell r="C46" t="str">
            <v>borrow pit</v>
          </cell>
          <cell r="E46" t="str">
            <v>ha</v>
          </cell>
          <cell r="F46">
            <v>0.2</v>
          </cell>
          <cell r="G46">
            <v>0</v>
          </cell>
        </row>
        <row r="48">
          <cell r="A48" t="str">
            <v>3.2.8</v>
          </cell>
          <cell r="B48" t="str">
            <v>8.3.3.3</v>
          </cell>
          <cell r="C48" t="str">
            <v>Compaction in road reserves</v>
          </cell>
          <cell r="E48" t="str">
            <v>m³</v>
          </cell>
          <cell r="F48">
            <v>90</v>
          </cell>
        </row>
        <row r="50">
          <cell r="A50" t="str">
            <v>3.2.9</v>
          </cell>
          <cell r="B50" t="str">
            <v>8.3.3.4</v>
          </cell>
          <cell r="C50" t="str">
            <v>Overhaul</v>
          </cell>
        </row>
        <row r="51">
          <cell r="C51" t="str">
            <v>a)</v>
          </cell>
          <cell r="D51" t="str">
            <v>Limited overhaul (0,5 to 1,0km) (Provisional)</v>
          </cell>
          <cell r="E51" t="str">
            <v>m³</v>
          </cell>
          <cell r="F51">
            <v>300</v>
          </cell>
        </row>
        <row r="53">
          <cell r="C53" t="str">
            <v>b)</v>
          </cell>
          <cell r="D53" t="str">
            <v>Long overhaul (Provisional)</v>
          </cell>
          <cell r="E53" t="str">
            <v>m³.km</v>
          </cell>
          <cell r="F53">
            <v>1500</v>
          </cell>
        </row>
        <row r="56">
          <cell r="D56" t="str">
            <v xml:space="preserve">CARRIED FORWARD </v>
          </cell>
        </row>
        <row r="57">
          <cell r="D57" t="str">
            <v xml:space="preserve">BROUGHT FORWARD </v>
          </cell>
        </row>
        <row r="58">
          <cell r="A58" t="str">
            <v>3.2.10</v>
          </cell>
          <cell r="B58" t="str">
            <v>8.3.6.1c)</v>
          </cell>
          <cell r="C58" t="str">
            <v>Reinstate road surface</v>
          </cell>
        </row>
        <row r="59">
          <cell r="C59" t="str">
            <v>Asphalt surfacing of 40mm thickness in road</v>
          </cell>
        </row>
        <row r="60">
          <cell r="C60" t="str">
            <v>crossing (Provisional)</v>
          </cell>
          <cell r="E60" t="str">
            <v>m²</v>
          </cell>
          <cell r="F60">
            <v>30</v>
          </cell>
        </row>
        <row r="62">
          <cell r="B62" t="str">
            <v>SABS</v>
          </cell>
        </row>
        <row r="63">
          <cell r="A63">
            <v>3.3</v>
          </cell>
          <cell r="B63" t="str">
            <v>1200DB</v>
          </cell>
          <cell r="C63" t="str">
            <v>EXISTING SERVICES</v>
          </cell>
        </row>
        <row r="64">
          <cell r="A64" t="str">
            <v>3.3.1</v>
          </cell>
          <cell r="B64" t="str">
            <v>8.3.5a)</v>
          </cell>
          <cell r="C64" t="str">
            <v>Services that intersect a trench</v>
          </cell>
        </row>
        <row r="65">
          <cell r="C65" t="str">
            <v>a)</v>
          </cell>
          <cell r="D65" t="str">
            <v>Water and sewer pipelines</v>
          </cell>
          <cell r="E65" t="str">
            <v>no</v>
          </cell>
          <cell r="F65">
            <v>50</v>
          </cell>
        </row>
        <row r="67">
          <cell r="C67" t="str">
            <v>b)</v>
          </cell>
          <cell r="D67" t="str">
            <v>Cables</v>
          </cell>
          <cell r="E67" t="str">
            <v>no</v>
          </cell>
          <cell r="F67">
            <v>20</v>
          </cell>
        </row>
        <row r="69">
          <cell r="A69" t="str">
            <v>3.3.2</v>
          </cell>
          <cell r="B69" t="str">
            <v>8.3.5b)</v>
          </cell>
          <cell r="C69" t="str">
            <v>Services that adjoin a trench</v>
          </cell>
        </row>
        <row r="70">
          <cell r="C70" t="str">
            <v>a)</v>
          </cell>
          <cell r="D70" t="str">
            <v>Water and sewer pipelines</v>
          </cell>
          <cell r="E70" t="str">
            <v>m</v>
          </cell>
          <cell r="F70">
            <v>600</v>
          </cell>
        </row>
        <row r="72">
          <cell r="C72" t="str">
            <v>b)</v>
          </cell>
          <cell r="D72" t="str">
            <v>Cables</v>
          </cell>
          <cell r="E72" t="str">
            <v>m</v>
          </cell>
          <cell r="F72">
            <v>150</v>
          </cell>
        </row>
        <row r="74">
          <cell r="B74" t="str">
            <v>SABS</v>
          </cell>
        </row>
        <row r="75">
          <cell r="A75">
            <v>3.4</v>
          </cell>
          <cell r="B75" t="str">
            <v>1200LB</v>
          </cell>
          <cell r="C75" t="str">
            <v>PIPE BEDDING</v>
          </cell>
        </row>
        <row r="76">
          <cell r="A76" t="str">
            <v>3.4.1</v>
          </cell>
          <cell r="C76" t="str">
            <v xml:space="preserve">Selected granular material for bedding cradle </v>
          </cell>
        </row>
        <row r="77">
          <cell r="B77" t="str">
            <v>8.2.1</v>
          </cell>
          <cell r="C77" t="str">
            <v>a)</v>
          </cell>
          <cell r="D77" t="str">
            <v>Trench excavation</v>
          </cell>
          <cell r="E77" t="str">
            <v>m³</v>
          </cell>
          <cell r="F77">
            <v>280</v>
          </cell>
        </row>
        <row r="79">
          <cell r="B79" t="str">
            <v>8.2.2.2</v>
          </cell>
          <cell r="C79" t="str">
            <v>b)</v>
          </cell>
          <cell r="D79" t="str">
            <v>Borrow pits</v>
          </cell>
          <cell r="E79" t="str">
            <v>m³</v>
          </cell>
          <cell r="F79">
            <v>280</v>
          </cell>
        </row>
        <row r="81">
          <cell r="A81" t="str">
            <v>3.4.2</v>
          </cell>
          <cell r="C81" t="str">
            <v xml:space="preserve">Provision of selected fill material </v>
          </cell>
        </row>
        <row r="82">
          <cell r="B82" t="str">
            <v>8.2.1</v>
          </cell>
          <cell r="C82" t="str">
            <v>a)</v>
          </cell>
          <cell r="D82" t="str">
            <v>Trench excavation</v>
          </cell>
          <cell r="E82" t="str">
            <v>m³</v>
          </cell>
          <cell r="F82">
            <v>270</v>
          </cell>
        </row>
        <row r="84">
          <cell r="B84" t="str">
            <v>8.2.2.2</v>
          </cell>
          <cell r="C84" t="str">
            <v>b)</v>
          </cell>
          <cell r="D84" t="str">
            <v>Borrow pits (Provisional)</v>
          </cell>
          <cell r="E84" t="str">
            <v>m³</v>
          </cell>
          <cell r="F84">
            <v>270</v>
          </cell>
        </row>
        <row r="86">
          <cell r="A86" t="str">
            <v>3.4.3</v>
          </cell>
          <cell r="B86" t="str">
            <v>8.2.5</v>
          </cell>
          <cell r="C86" t="str">
            <v>Overhaul for imported material for bedding cradle</v>
          </cell>
        </row>
        <row r="87">
          <cell r="C87" t="str">
            <v>and selected fill blanket (Provisional)</v>
          </cell>
          <cell r="E87" t="str">
            <v>m³.km</v>
          </cell>
          <cell r="F87">
            <v>1500</v>
          </cell>
        </row>
        <row r="89">
          <cell r="B89" t="str">
            <v>SABS</v>
          </cell>
        </row>
        <row r="90">
          <cell r="A90">
            <v>3.5</v>
          </cell>
          <cell r="B90" t="str">
            <v>1200L</v>
          </cell>
          <cell r="C90" t="str">
            <v>uPVC PRESSURE PIPE AND PIPE FITTINGS</v>
          </cell>
        </row>
        <row r="91">
          <cell r="A91" t="str">
            <v>3.5.1</v>
          </cell>
          <cell r="C91" t="str">
            <v>People's Republic of China donated pipes (PRC )</v>
          </cell>
        </row>
        <row r="92">
          <cell r="A92" t="str">
            <v>3.5.1.1</v>
          </cell>
          <cell r="C92" t="str">
            <v>Transportation of pipes. Rate to include the selection</v>
          </cell>
        </row>
        <row r="93">
          <cell r="C93" t="str">
            <v>and inspection of the pipes at DWAF's stores and the</v>
          </cell>
        </row>
        <row r="94">
          <cell r="C94" t="str">
            <v>transport thereof to the construction site.</v>
          </cell>
          <cell r="E94" t="str">
            <v>t / km</v>
          </cell>
          <cell r="F94">
            <v>1350</v>
          </cell>
        </row>
        <row r="96">
          <cell r="A96" t="str">
            <v>3.5.1.2</v>
          </cell>
          <cell r="C96" t="str">
            <v>Lay, bed and test the following PRC pressure pipes.</v>
          </cell>
        </row>
        <row r="97">
          <cell r="C97" t="str">
            <v>a)</v>
          </cell>
          <cell r="D97" t="str">
            <v>250 mm dia Class 09 &amp; 12</v>
          </cell>
          <cell r="E97" t="str">
            <v>m</v>
          </cell>
        </row>
        <row r="99">
          <cell r="A99" t="str">
            <v>3.5.2</v>
          </cell>
          <cell r="B99" t="str">
            <v>8.2.1</v>
          </cell>
          <cell r="C99" t="str">
            <v>Supply, lay, bed and test the following uPVC pressure</v>
          </cell>
        </row>
        <row r="100">
          <cell r="A100">
            <v>0</v>
          </cell>
          <cell r="C100" t="str">
            <v>pipes (conforming with SABS 966 Part 1 specifications)</v>
          </cell>
        </row>
        <row r="101">
          <cell r="C101" t="str">
            <v>in 6m lengths each pipe fitted at one end with socket for</v>
          </cell>
        </row>
        <row r="102">
          <cell r="C102" t="str">
            <v>Mechanical jointing, in the following diameters :</v>
          </cell>
        </row>
        <row r="103">
          <cell r="C103" t="str">
            <v>a)</v>
          </cell>
          <cell r="D103" t="str">
            <v>250 mm dia Class 09</v>
          </cell>
          <cell r="E103" t="str">
            <v>m</v>
          </cell>
          <cell r="F103">
            <v>60</v>
          </cell>
        </row>
        <row r="105">
          <cell r="D105" t="str">
            <v xml:space="preserve">CARRIED FORWARD </v>
          </cell>
        </row>
        <row r="106">
          <cell r="D106" t="str">
            <v xml:space="preserve">BROUGHT FORWARD </v>
          </cell>
        </row>
        <row r="108">
          <cell r="C108" t="str">
            <v>b)</v>
          </cell>
          <cell r="D108" t="str">
            <v>250 mm dia Class 12</v>
          </cell>
          <cell r="E108" t="str">
            <v>m</v>
          </cell>
          <cell r="F108">
            <v>60</v>
          </cell>
        </row>
        <row r="110">
          <cell r="C110" t="str">
            <v>c)</v>
          </cell>
          <cell r="D110" t="str">
            <v>110 mm dia Class 06</v>
          </cell>
          <cell r="E110" t="str">
            <v>m</v>
          </cell>
        </row>
        <row r="111">
          <cell r="B111" t="str">
            <v>SABS</v>
          </cell>
        </row>
        <row r="112">
          <cell r="A112">
            <v>3.6</v>
          </cell>
          <cell r="B112" t="str">
            <v>1200L</v>
          </cell>
          <cell r="C112" t="str">
            <v>FITTINGS AND SPECIALS FOR FIXING ONTO</v>
          </cell>
        </row>
        <row r="113">
          <cell r="C113" t="str">
            <v>uPVC PIPES</v>
          </cell>
        </row>
        <row r="114">
          <cell r="C114" t="str">
            <v>Fittings to be suitable for coupling directly (mechanically)</v>
          </cell>
        </row>
        <row r="115">
          <cell r="B115">
            <v>0</v>
          </cell>
          <cell r="C115" t="str">
            <v xml:space="preserve">onto pipes.  Each fitting socketed for mechanical jointing. </v>
          </cell>
        </row>
        <row r="116">
          <cell r="C116" t="str">
            <v>Fittings for PVC Class 16 (unless otherwise specified)</v>
          </cell>
        </row>
        <row r="117">
          <cell r="C117" t="str">
            <v>Fittings to be of PVC, Cast Iron or epoxy painted steel</v>
          </cell>
        </row>
        <row r="118">
          <cell r="C118" t="str">
            <v>construction.</v>
          </cell>
        </row>
        <row r="119">
          <cell r="A119" t="str">
            <v>3.6.1</v>
          </cell>
          <cell r="B119" t="str">
            <v>8.2.2</v>
          </cell>
          <cell r="C119" t="str">
            <v>Bends</v>
          </cell>
        </row>
        <row r="120">
          <cell r="C120" t="str">
            <v>a)</v>
          </cell>
          <cell r="D120" t="str">
            <v>250 mm dia x 11 degrees</v>
          </cell>
          <cell r="E120" t="str">
            <v>no</v>
          </cell>
        </row>
        <row r="122">
          <cell r="C122" t="str">
            <v>b)</v>
          </cell>
          <cell r="D122" t="str">
            <v>250 mm dia x 22 degrees</v>
          </cell>
          <cell r="E122" t="str">
            <v>no</v>
          </cell>
        </row>
        <row r="124">
          <cell r="C124" t="str">
            <v>c)</v>
          </cell>
          <cell r="D124" t="str">
            <v>250 mm dia x 45 degrees</v>
          </cell>
          <cell r="E124" t="str">
            <v>no</v>
          </cell>
        </row>
        <row r="126">
          <cell r="C126" t="str">
            <v>d)</v>
          </cell>
          <cell r="D126" t="str">
            <v>250 mm dia x 90 degrees</v>
          </cell>
          <cell r="E126" t="str">
            <v>no</v>
          </cell>
        </row>
        <row r="128">
          <cell r="C128" t="str">
            <v>e)</v>
          </cell>
          <cell r="D128" t="str">
            <v>110 mm dia x 11 degrees</v>
          </cell>
          <cell r="E128" t="str">
            <v>no</v>
          </cell>
        </row>
        <row r="130">
          <cell r="C130" t="str">
            <v>f)</v>
          </cell>
          <cell r="D130" t="str">
            <v>110 mm dia x 22 degrees</v>
          </cell>
          <cell r="E130" t="str">
            <v>no</v>
          </cell>
        </row>
        <row r="132">
          <cell r="C132" t="str">
            <v>g)</v>
          </cell>
          <cell r="D132" t="str">
            <v>110 mm dia x 45 degrees</v>
          </cell>
          <cell r="E132" t="str">
            <v>no</v>
          </cell>
        </row>
        <row r="134">
          <cell r="C134" t="str">
            <v>h)</v>
          </cell>
          <cell r="D134" t="str">
            <v>110 mm dia x 90 degrees</v>
          </cell>
          <cell r="E134" t="str">
            <v>no</v>
          </cell>
        </row>
        <row r="136">
          <cell r="A136" t="str">
            <v>3.6.2</v>
          </cell>
          <cell r="B136" t="str">
            <v>8.2.2</v>
          </cell>
          <cell r="C136" t="str">
            <v>Flanged Adaptor (Drilled SABS 1123 Table 10)</v>
          </cell>
        </row>
        <row r="137">
          <cell r="C137" t="str">
            <v>a)</v>
          </cell>
          <cell r="D137" t="str">
            <v>110mm dia</v>
          </cell>
          <cell r="E137" t="str">
            <v>no</v>
          </cell>
        </row>
        <row r="139">
          <cell r="C139" t="str">
            <v>b)</v>
          </cell>
          <cell r="D139" t="str">
            <v>250 mm dia</v>
          </cell>
          <cell r="E139" t="str">
            <v>no</v>
          </cell>
        </row>
        <row r="141">
          <cell r="A141" t="str">
            <v>3.6.3</v>
          </cell>
          <cell r="B141" t="str">
            <v>8.2.2</v>
          </cell>
          <cell r="C141" t="str">
            <v>Flanged Adaptor (Drilled SABS 1123 Table 16)</v>
          </cell>
        </row>
        <row r="142">
          <cell r="C142" t="str">
            <v>a)</v>
          </cell>
          <cell r="D142" t="str">
            <v>110mm dia</v>
          </cell>
          <cell r="E142" t="str">
            <v>no</v>
          </cell>
        </row>
        <row r="144">
          <cell r="C144" t="str">
            <v>b)</v>
          </cell>
          <cell r="D144" t="str">
            <v>250 mm dia</v>
          </cell>
          <cell r="E144" t="str">
            <v>no</v>
          </cell>
        </row>
        <row r="146">
          <cell r="A146" t="str">
            <v>3.6.4</v>
          </cell>
          <cell r="B146" t="str">
            <v>8.2.2</v>
          </cell>
          <cell r="C146" t="str">
            <v>Hydrant Tee</v>
          </cell>
        </row>
        <row r="147">
          <cell r="C147" t="str">
            <v>a)</v>
          </cell>
          <cell r="D147" t="str">
            <v>250 mm dia  (Drilled SABS 1123 Table 10)</v>
          </cell>
          <cell r="E147" t="str">
            <v>no</v>
          </cell>
        </row>
        <row r="149">
          <cell r="C149" t="str">
            <v>b)</v>
          </cell>
          <cell r="D149" t="str">
            <v>250 mm dia  (Drilled SABS 1123 Table 16)</v>
          </cell>
          <cell r="E149" t="str">
            <v>no</v>
          </cell>
        </row>
        <row r="151">
          <cell r="C151" t="str">
            <v>c)</v>
          </cell>
          <cell r="D151" t="str">
            <v>110 mm dia  (Drilled SABS 1123 Table 10)</v>
          </cell>
          <cell r="E151" t="str">
            <v>no</v>
          </cell>
        </row>
        <row r="154">
          <cell r="D154" t="str">
            <v xml:space="preserve">CARRIED FORWARD </v>
          </cell>
        </row>
        <row r="155">
          <cell r="D155" t="str">
            <v xml:space="preserve">BROUGHT FORWARD </v>
          </cell>
        </row>
        <row r="156">
          <cell r="A156" t="str">
            <v>3.6.5</v>
          </cell>
          <cell r="B156" t="str">
            <v>8.2.2</v>
          </cell>
          <cell r="C156" t="str">
            <v>Reducer</v>
          </cell>
        </row>
        <row r="157">
          <cell r="C157" t="str">
            <v>a)</v>
          </cell>
          <cell r="D157" t="str">
            <v>250 x 200 mm dia</v>
          </cell>
          <cell r="E157" t="str">
            <v>no</v>
          </cell>
          <cell r="F157">
            <v>1</v>
          </cell>
        </row>
        <row r="159">
          <cell r="A159" t="str">
            <v>3.6.6</v>
          </cell>
          <cell r="B159" t="str">
            <v>8.2.2</v>
          </cell>
          <cell r="C159" t="str">
            <v>Scour Tee</v>
          </cell>
        </row>
        <row r="160">
          <cell r="C160" t="str">
            <v>a)</v>
          </cell>
          <cell r="D160" t="str">
            <v>250 mm dia  (Drilled SABS 1123 Table 10)</v>
          </cell>
          <cell r="E160" t="str">
            <v>no</v>
          </cell>
          <cell r="F160">
            <v>1</v>
          </cell>
        </row>
        <row r="162">
          <cell r="C162" t="str">
            <v>b)</v>
          </cell>
          <cell r="D162" t="str">
            <v>250 mm dia  (Drilled SABS 1123 Table 16)</v>
          </cell>
          <cell r="E162" t="str">
            <v>no</v>
          </cell>
          <cell r="F162">
            <v>1</v>
          </cell>
        </row>
        <row r="165">
          <cell r="A165">
            <v>3.7</v>
          </cell>
          <cell r="C165" t="str">
            <v>FITTINGS FOR CONSTANT INTERNAL DIAMETER</v>
          </cell>
        </row>
        <row r="166">
          <cell r="C166" t="str">
            <v>FIBRE CEMENT PRESSURE PIPES</v>
          </cell>
        </row>
        <row r="167">
          <cell r="C167" t="str">
            <v>All bends, flanged adaptors, hydrant tee, reducers,</v>
          </cell>
        </row>
        <row r="168">
          <cell r="C168" t="str">
            <v>scour tees used in conjunction with Asbestos cement</v>
          </cell>
        </row>
        <row r="169">
          <cell r="C169" t="str">
            <v>pipes are to be of cast iron or epoxy painted steel</v>
          </cell>
        </row>
        <row r="170">
          <cell r="C170" t="str">
            <v>construction.</v>
          </cell>
        </row>
        <row r="172">
          <cell r="A172" t="str">
            <v>3.7.1</v>
          </cell>
          <cell r="B172" t="str">
            <v>8.2.2</v>
          </cell>
          <cell r="C172" t="str">
            <v>Adaptor Coupling AC-PVC</v>
          </cell>
        </row>
        <row r="173">
          <cell r="C173" t="str">
            <v>200 AC ID/18 - 200 PVC</v>
          </cell>
          <cell r="E173" t="str">
            <v>no</v>
          </cell>
          <cell r="F173">
            <v>1</v>
          </cell>
        </row>
        <row r="175">
          <cell r="A175">
            <v>3.8</v>
          </cell>
          <cell r="C175" t="str">
            <v>VALVES</v>
          </cell>
        </row>
        <row r="176">
          <cell r="A176" t="str">
            <v>3.8.1</v>
          </cell>
          <cell r="B176" t="str">
            <v>8.2.3</v>
          </cell>
          <cell r="C176" t="str">
            <v>Gate valves</v>
          </cell>
        </row>
        <row r="177">
          <cell r="C177" t="str">
            <v>Gate valves, waterworks pattern in compliance with</v>
          </cell>
        </row>
        <row r="178">
          <cell r="C178" t="str">
            <v>SABS 664, with resilient, rubberised metal gate, cap</v>
          </cell>
        </row>
        <row r="179">
          <cell r="C179" t="str">
            <v>top, plain thrust collar, non-rising spindle, clockwise</v>
          </cell>
        </row>
        <row r="180">
          <cell r="C180" t="str">
            <v>closing.</v>
          </cell>
        </row>
        <row r="182">
          <cell r="C182" t="str">
            <v>a)</v>
          </cell>
          <cell r="D182" t="str">
            <v>100 mm dia flanged and drilled BS4504 Table 16</v>
          </cell>
          <cell r="E182" t="str">
            <v>no</v>
          </cell>
          <cell r="F182">
            <v>1</v>
          </cell>
        </row>
        <row r="184">
          <cell r="C184" t="str">
            <v>b)</v>
          </cell>
          <cell r="D184" t="str">
            <v>100 mm dia flanged and drilled BS4504 Table 16</v>
          </cell>
          <cell r="E184" t="str">
            <v>no</v>
          </cell>
          <cell r="F184">
            <v>2</v>
          </cell>
        </row>
        <row r="186">
          <cell r="A186" t="str">
            <v>3.8.2</v>
          </cell>
          <cell r="B186" t="str">
            <v>8.2.3</v>
          </cell>
          <cell r="C186" t="str">
            <v>Double purpose air release valve</v>
          </cell>
        </row>
        <row r="187">
          <cell r="C187" t="str">
            <v>Combination air and vacuum release valve assembly</v>
          </cell>
        </row>
        <row r="188">
          <cell r="C188" t="str">
            <v>comprising :</v>
          </cell>
        </row>
        <row r="189">
          <cell r="C189" t="str">
            <v>a)</v>
          </cell>
          <cell r="D189" t="str">
            <v>1 x 50mm dia air release valve (16 bar rating)</v>
          </cell>
        </row>
        <row r="190">
          <cell r="C190" t="str">
            <v>b)</v>
          </cell>
          <cell r="D190" t="str">
            <v>1 x 50 ND Brass fullway gate valve to SABS 776</v>
          </cell>
        </row>
        <row r="191">
          <cell r="D191" t="str">
            <v>Class 16</v>
          </cell>
        </row>
        <row r="192">
          <cell r="C192" t="str">
            <v>c)</v>
          </cell>
          <cell r="D192" t="str">
            <v>1 x 50 ND Galvanised barrel nipple</v>
          </cell>
        </row>
        <row r="193">
          <cell r="C193" t="str">
            <v>d)</v>
          </cell>
          <cell r="D193" t="str">
            <v>1 x 80 x 50 ND Galvanised reducing bush</v>
          </cell>
        </row>
        <row r="194">
          <cell r="C194" t="str">
            <v>e)</v>
          </cell>
          <cell r="D194" t="str">
            <v>1 x 80 Galvanised flange drilled SABS 1123 Table</v>
          </cell>
        </row>
        <row r="195">
          <cell r="D195" t="str">
            <v>1600/4 and screwed BSP</v>
          </cell>
        </row>
        <row r="196">
          <cell r="C196" t="str">
            <v>f)</v>
          </cell>
          <cell r="D196" t="str">
            <v>Gasket for item e)</v>
          </cell>
        </row>
        <row r="197">
          <cell r="C197" t="str">
            <v>g)</v>
          </cell>
          <cell r="D197" t="str">
            <v>Bolts and nuts to fit item e)</v>
          </cell>
        </row>
        <row r="198">
          <cell r="C198" t="str">
            <v>h)</v>
          </cell>
          <cell r="D198" t="str">
            <v>Galvanised locking device with lock bolt and nut</v>
          </cell>
        </row>
        <row r="199">
          <cell r="C199" t="str">
            <v>i)</v>
          </cell>
          <cell r="D199" t="str">
            <v>Manhole, manhole cover and frame as per detail.</v>
          </cell>
        </row>
        <row r="200">
          <cell r="D200" t="str">
            <v xml:space="preserve">Complete assembly  </v>
          </cell>
          <cell r="E200" t="str">
            <v>no</v>
          </cell>
          <cell r="F200">
            <v>1</v>
          </cell>
        </row>
        <row r="203">
          <cell r="D203" t="str">
            <v xml:space="preserve">CARRIED FORWARD </v>
          </cell>
        </row>
        <row r="204">
          <cell r="D204" t="str">
            <v xml:space="preserve">BROUGHT FORWARD </v>
          </cell>
        </row>
        <row r="205">
          <cell r="A205" t="str">
            <v>3.8.3</v>
          </cell>
          <cell r="B205" t="str">
            <v>8.2.3</v>
          </cell>
          <cell r="C205" t="str">
            <v>Double purpose air release valve combination air and</v>
          </cell>
        </row>
        <row r="206">
          <cell r="C206" t="str">
            <v>vacuum release valve assembly comprising:</v>
          </cell>
        </row>
        <row r="207">
          <cell r="C207" t="str">
            <v>a)</v>
          </cell>
          <cell r="D207" t="str">
            <v>1 x 50mm dia air release valve (10 bar rating)</v>
          </cell>
        </row>
        <row r="208">
          <cell r="C208" t="str">
            <v>b)</v>
          </cell>
          <cell r="D208" t="str">
            <v>1 x 50mm Brass fullway gate valve to SABS 776</v>
          </cell>
        </row>
        <row r="209">
          <cell r="D209" t="str">
            <v>Class 10</v>
          </cell>
        </row>
        <row r="210">
          <cell r="C210" t="str">
            <v>c)</v>
          </cell>
          <cell r="D210" t="str">
            <v>1 x 50mm  dia Barrel nipple</v>
          </cell>
        </row>
        <row r="211">
          <cell r="C211" t="str">
            <v>d)</v>
          </cell>
          <cell r="D211" t="str">
            <v>1 x 80 x 50mm dia Galvanised reducing bush</v>
          </cell>
        </row>
        <row r="212">
          <cell r="C212" t="str">
            <v>e)</v>
          </cell>
          <cell r="D212" t="str">
            <v>1 x 80mm dia Galvanised flange drilled SABS</v>
          </cell>
        </row>
        <row r="213">
          <cell r="D213" t="str">
            <v>1123 Table 1000/4 and screwed BSP</v>
          </cell>
        </row>
        <row r="214">
          <cell r="C214" t="str">
            <v>f)</v>
          </cell>
          <cell r="D214" t="str">
            <v>Gasket for item e)</v>
          </cell>
        </row>
        <row r="215">
          <cell r="C215" t="str">
            <v>g)</v>
          </cell>
          <cell r="D215" t="str">
            <v>Bolts and nuts to fit item e)</v>
          </cell>
        </row>
        <row r="216">
          <cell r="C216" t="str">
            <v>h)</v>
          </cell>
          <cell r="D216" t="str">
            <v>Galvanised locking device with lock bolt and nut</v>
          </cell>
        </row>
        <row r="217">
          <cell r="C217" t="str">
            <v>i)</v>
          </cell>
          <cell r="D217" t="str">
            <v>Manhole, manhole cover and frame as per detail.</v>
          </cell>
        </row>
        <row r="218">
          <cell r="D218" t="str">
            <v xml:space="preserve">Complete assembly  </v>
          </cell>
          <cell r="E218" t="str">
            <v>no</v>
          </cell>
          <cell r="F218">
            <v>5</v>
          </cell>
        </row>
        <row r="220">
          <cell r="A220" t="str">
            <v>3.8.4</v>
          </cell>
          <cell r="B220" t="str">
            <v>8.2.3</v>
          </cell>
          <cell r="C220" t="str">
            <v>Float control valve</v>
          </cell>
        </row>
        <row r="221">
          <cell r="C221" t="str">
            <v>Supply and install the following diameter flanged float</v>
          </cell>
        </row>
        <row r="222">
          <cell r="C222" t="str">
            <v>control valve suitable for 1600 kPa working pressure.</v>
          </cell>
        </row>
        <row r="223">
          <cell r="C223" t="str">
            <v>a)</v>
          </cell>
          <cell r="D223" t="str">
            <v>200 mm dia</v>
          </cell>
          <cell r="E223" t="str">
            <v>no</v>
          </cell>
          <cell r="F223">
            <v>1</v>
          </cell>
        </row>
        <row r="225">
          <cell r="B225" t="str">
            <v>SABS</v>
          </cell>
        </row>
        <row r="226">
          <cell r="A226">
            <v>3.9</v>
          </cell>
          <cell r="B226" t="str">
            <v>1200L</v>
          </cell>
          <cell r="C226" t="str">
            <v>MISCELLANEOUS</v>
          </cell>
        </row>
        <row r="227">
          <cell r="A227" t="str">
            <v>3.9.1</v>
          </cell>
          <cell r="B227" t="str">
            <v>8.2.11</v>
          </cell>
          <cell r="C227" t="str">
            <v xml:space="preserve">Concrete thrust block configuration.  </v>
          </cell>
        </row>
        <row r="228">
          <cell r="C228" t="str">
            <v>a)</v>
          </cell>
          <cell r="D228" t="str">
            <v>Concrete volume &lt; 0,6m³ (Provisional)</v>
          </cell>
          <cell r="E228" t="str">
            <v>no</v>
          </cell>
          <cell r="F228">
            <v>1</v>
          </cell>
        </row>
        <row r="230">
          <cell r="C230" t="str">
            <v>b)</v>
          </cell>
          <cell r="D230" t="str">
            <v>Concrete volume 0,6 to 1,2m³ (Provisional)</v>
          </cell>
          <cell r="E230" t="str">
            <v>no</v>
          </cell>
          <cell r="F230">
            <v>25</v>
          </cell>
        </row>
        <row r="232">
          <cell r="C232" t="str">
            <v>c)</v>
          </cell>
          <cell r="D232" t="str">
            <v>Concrete volume 1,2 to 2,0m³ (Provisional)</v>
          </cell>
          <cell r="E232" t="str">
            <v>no</v>
          </cell>
          <cell r="F232">
            <v>1</v>
          </cell>
        </row>
        <row r="234">
          <cell r="C234" t="str">
            <v>d)</v>
          </cell>
          <cell r="D234" t="str">
            <v>Concrete volume 2,0 to 2,8m³ (Provisional)</v>
          </cell>
          <cell r="E234" t="str">
            <v>no</v>
          </cell>
          <cell r="F234">
            <v>1</v>
          </cell>
        </row>
        <row r="236">
          <cell r="A236" t="str">
            <v>3.9.2</v>
          </cell>
          <cell r="B236" t="str">
            <v>8.2.11</v>
          </cell>
          <cell r="C236" t="str">
            <v>Pipeline marker</v>
          </cell>
        </row>
        <row r="237">
          <cell r="C237" t="str">
            <v>Complete as detail on drawing</v>
          </cell>
          <cell r="E237" t="str">
            <v>no</v>
          </cell>
          <cell r="F237">
            <v>20</v>
          </cell>
        </row>
        <row r="239">
          <cell r="A239" t="str">
            <v>3.9.3</v>
          </cell>
          <cell r="B239" t="str">
            <v>8.2.13</v>
          </cell>
          <cell r="C239" t="str">
            <v>Valve box for scour valve</v>
          </cell>
        </row>
        <row r="240">
          <cell r="C240" t="str">
            <v xml:space="preserve">Valve box as detailed on drawing completed with the </v>
          </cell>
        </row>
        <row r="241">
          <cell r="C241" t="str">
            <v>following.</v>
          </cell>
        </row>
        <row r="242">
          <cell r="C242" t="str">
            <v>i)</v>
          </cell>
          <cell r="D242" t="str">
            <v>1 x SABS558-1973 type 11D valve box</v>
          </cell>
        </row>
        <row r="243">
          <cell r="C243" t="str">
            <v>ii)</v>
          </cell>
          <cell r="D243" t="str">
            <v>Concrete slab</v>
          </cell>
        </row>
        <row r="244">
          <cell r="C244" t="str">
            <v>iii)</v>
          </cell>
          <cell r="D244" t="str">
            <v>Sleeve pipe</v>
          </cell>
        </row>
        <row r="245">
          <cell r="D245" t="str">
            <v xml:space="preserve">Price complete  </v>
          </cell>
          <cell r="E245" t="str">
            <v>set</v>
          </cell>
          <cell r="F245">
            <v>8</v>
          </cell>
        </row>
        <row r="247">
          <cell r="B247" t="str">
            <v>SABS</v>
          </cell>
        </row>
        <row r="248">
          <cell r="B248" t="str">
            <v>1200L</v>
          </cell>
        </row>
        <row r="249">
          <cell r="A249" t="str">
            <v>3.9.4</v>
          </cell>
          <cell r="B249" t="str">
            <v>8.2.5</v>
          </cell>
          <cell r="C249" t="str">
            <v>Connection to existing reservoir</v>
          </cell>
        </row>
        <row r="250">
          <cell r="C250" t="str">
            <v>a)</v>
          </cell>
          <cell r="D250" t="str">
            <v xml:space="preserve">100 dia (MGI) Barrel Nipple </v>
          </cell>
          <cell r="E250" t="str">
            <v>no</v>
          </cell>
          <cell r="F250">
            <v>1</v>
          </cell>
        </row>
        <row r="252">
          <cell r="D252" t="str">
            <v xml:space="preserve">CARRIED FORWARD </v>
          </cell>
        </row>
        <row r="253">
          <cell r="D253" t="str">
            <v xml:space="preserve">BROUGHT FORWARD </v>
          </cell>
        </row>
        <row r="255">
          <cell r="C255" t="str">
            <v>b)</v>
          </cell>
          <cell r="D255" t="str">
            <v xml:space="preserve">100 dia 90 degree (MGI) Female Elbow </v>
          </cell>
          <cell r="E255" t="str">
            <v>no</v>
          </cell>
          <cell r="F255">
            <v>2</v>
          </cell>
        </row>
        <row r="257">
          <cell r="C257" t="str">
            <v>c)</v>
          </cell>
          <cell r="D257" t="str">
            <v>100 dia x 6,0m long pipe (MGI) threaded both ends</v>
          </cell>
          <cell r="E257" t="str">
            <v>no</v>
          </cell>
          <cell r="F257">
            <v>1</v>
          </cell>
        </row>
        <row r="259">
          <cell r="C259" t="str">
            <v>d)</v>
          </cell>
          <cell r="D259" t="str">
            <v>100 dia x 500mm long (MGI) steel pipe flanged one</v>
          </cell>
        </row>
        <row r="260">
          <cell r="D260" t="str">
            <v>end only, other end threaded and having puddle</v>
          </cell>
        </row>
        <row r="261">
          <cell r="D261" t="str">
            <v>flange 125mm from threaded end</v>
          </cell>
          <cell r="E261" t="str">
            <v>no</v>
          </cell>
          <cell r="F261">
            <v>1</v>
          </cell>
        </row>
        <row r="263">
          <cell r="C263" t="str">
            <v>e)</v>
          </cell>
          <cell r="D263" t="str">
            <v>100dia x 600mm long (MGI) steel pipe threaded</v>
          </cell>
        </row>
        <row r="264">
          <cell r="D264" t="str">
            <v xml:space="preserve">one end only </v>
          </cell>
          <cell r="E264" t="str">
            <v>no</v>
          </cell>
          <cell r="F264">
            <v>1</v>
          </cell>
        </row>
        <row r="266">
          <cell r="C266" t="str">
            <v>f)</v>
          </cell>
          <cell r="D266" t="str">
            <v xml:space="preserve">100 dia MGI screwed flange </v>
          </cell>
          <cell r="E266" t="str">
            <v>no</v>
          </cell>
          <cell r="F266">
            <v>1</v>
          </cell>
        </row>
        <row r="268">
          <cell r="A268" t="str">
            <v>3.9.5</v>
          </cell>
          <cell r="C268" t="str">
            <v>Breaking into existing reservoir and grout in delivery</v>
          </cell>
        </row>
        <row r="269">
          <cell r="C269" t="str">
            <v>pipe with a non shrink wet to dry grout approved by the</v>
          </cell>
        </row>
        <row r="270">
          <cell r="C270" t="str">
            <v>Engineer.</v>
          </cell>
          <cell r="E270" t="str">
            <v>no</v>
          </cell>
          <cell r="F270">
            <v>1</v>
          </cell>
        </row>
        <row r="272">
          <cell r="A272" t="str">
            <v>3.9.6</v>
          </cell>
          <cell r="C272" t="str">
            <v>Water Meter</v>
          </cell>
        </row>
        <row r="273">
          <cell r="C273" t="str">
            <v>Flanged turbine water meter suitable for cold water</v>
          </cell>
        </row>
        <row r="274">
          <cell r="C274" t="str">
            <v>up to 40°C and 1600 kPa working pressure complete</v>
          </cell>
        </row>
        <row r="275">
          <cell r="C275" t="str">
            <v>with manhole, manhole cover and frame as per detail</v>
          </cell>
        </row>
        <row r="276">
          <cell r="C276" t="str">
            <v>a)</v>
          </cell>
          <cell r="D276" t="str">
            <v>150mm dia and drilled BS4504 table 10</v>
          </cell>
          <cell r="E276" t="str">
            <v>no</v>
          </cell>
          <cell r="F276">
            <v>1</v>
          </cell>
        </row>
        <row r="278">
          <cell r="C278" t="str">
            <v>b)</v>
          </cell>
          <cell r="D278" t="str">
            <v>150mm dia and drilled BS 4504 table 16</v>
          </cell>
          <cell r="E278" t="str">
            <v>no</v>
          </cell>
          <cell r="F278">
            <v>1</v>
          </cell>
        </row>
        <row r="280">
          <cell r="A280" t="str">
            <v>3.9.8</v>
          </cell>
          <cell r="C280" t="str">
            <v>Concrete sleeve pipe</v>
          </cell>
        </row>
        <row r="281">
          <cell r="C281" t="str">
            <v>a)</v>
          </cell>
          <cell r="D281" t="str">
            <v>600mm dia Class 75D concrete stormwater pipes</v>
          </cell>
        </row>
        <row r="282">
          <cell r="D282" t="str">
            <v>for the road crossings</v>
          </cell>
          <cell r="E282" t="str">
            <v>m</v>
          </cell>
          <cell r="F282">
            <v>30</v>
          </cell>
        </row>
        <row r="301">
          <cell r="C301" t="str">
            <v>TOTAL SCHEDULE 3 CARRIED FORWARD TO SUMMARY</v>
          </cell>
        </row>
      </sheetData>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WP"/>
      <sheetName val="Progress"/>
      <sheetName val="Initiation"/>
      <sheetName val="Consultant #1"/>
      <sheetName val="Contractor #1"/>
      <sheetName val="Consortium #1"/>
      <sheetName val="Invoice"/>
      <sheetName val="Payment Sheet"/>
      <sheetName val="Bill - Sanitation"/>
      <sheetName val="Summ - Sanitation"/>
      <sheetName val="Bill - Water"/>
      <sheetName val="Summ - Water"/>
      <sheetName val="Summary - Construction"/>
      <sheetName val="Prof. Fees - Sanit"/>
      <sheetName val="Prof. Fees - Water"/>
      <sheetName val="Disbursements"/>
      <sheetName val="Supervision"/>
      <sheetName val="Geo-tech"/>
      <sheetName val="Logsheet"/>
      <sheetName val="Summary - Fees"/>
      <sheetName val="Prog - Sanitation"/>
      <sheetName val="Prog - Water"/>
      <sheetName val="Checks"/>
      <sheetName val="Detail prog san1"/>
      <sheetName val="Sheet1"/>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sheetData sheetId="12">
        <row r="3">
          <cell r="A3" t="str">
            <v xml:space="preserve">  PROJECT</v>
          </cell>
          <cell r="C3" t="str">
            <v>BASIC WATER AND SANITATION</v>
          </cell>
        </row>
        <row r="4">
          <cell r="A4" t="str">
            <v xml:space="preserve">  EMPLOYER</v>
          </cell>
          <cell r="C4" t="str">
            <v>JOHANNESBURG WATER</v>
          </cell>
        </row>
        <row r="5">
          <cell r="A5" t="str">
            <v xml:space="preserve">  CONTRACTOR</v>
          </cell>
          <cell r="C5" t="str">
            <v>INDLOVU CONSORTIUM</v>
          </cell>
        </row>
        <row r="7">
          <cell r="C7" t="str">
            <v>FINAL CONSTRUCTION SUMMARY (SANITATION AND WATER)</v>
          </cell>
          <cell r="K7" t="str">
            <v>Page 15</v>
          </cell>
        </row>
        <row r="10">
          <cell r="A10" t="str">
            <v>SECTION</v>
          </cell>
          <cell r="B10" t="str">
            <v>DESCRIPTION</v>
          </cell>
          <cell r="G10" t="str">
            <v>AMOUNT</v>
          </cell>
        </row>
        <row r="11">
          <cell r="G11" t="str">
            <v>Tender</v>
          </cell>
          <cell r="H11" t="str">
            <v>Previous</v>
          </cell>
          <cell r="I11" t="str">
            <v>Present</v>
          </cell>
          <cell r="J11" t="str">
            <v>To Date</v>
          </cell>
          <cell r="K11" t="str">
            <v>Final</v>
          </cell>
        </row>
        <row r="14">
          <cell r="A14" t="str">
            <v>1</v>
          </cell>
          <cell r="B14" t="str">
            <v xml:space="preserve">  BASIC WATER</v>
          </cell>
          <cell r="G14">
            <v>8370895</v>
          </cell>
          <cell r="H14">
            <v>3243358</v>
          </cell>
          <cell r="I14">
            <v>303077.48477157333</v>
          </cell>
          <cell r="J14">
            <v>3528435.4847715739</v>
          </cell>
          <cell r="K14">
            <v>4408245.5</v>
          </cell>
        </row>
        <row r="16">
          <cell r="A16" t="str">
            <v>2</v>
          </cell>
          <cell r="B16" t="str">
            <v xml:space="preserve">  BASIC SANITATION</v>
          </cell>
          <cell r="G16">
            <v>26232650</v>
          </cell>
          <cell r="H16">
            <v>8582276</v>
          </cell>
          <cell r="I16">
            <v>496921.21319796925</v>
          </cell>
          <cell r="J16">
            <v>9079197.2131979689</v>
          </cell>
          <cell r="K16">
            <v>15654155</v>
          </cell>
        </row>
        <row r="31">
          <cell r="C31" t="str">
            <v>SUB TOTAL</v>
          </cell>
          <cell r="G31">
            <v>34603545</v>
          </cell>
          <cell r="H31">
            <v>11825634</v>
          </cell>
          <cell r="I31">
            <v>799998.69796954258</v>
          </cell>
          <cell r="J31">
            <v>12607632.697969543</v>
          </cell>
          <cell r="K31">
            <v>20062400.5</v>
          </cell>
        </row>
        <row r="34">
          <cell r="C34" t="str">
            <v>PLUS : 5 %  CONTINGENCIES</v>
          </cell>
          <cell r="G34">
            <v>0</v>
          </cell>
          <cell r="H34">
            <v>0</v>
          </cell>
          <cell r="I34">
            <v>0</v>
          </cell>
          <cell r="J34">
            <v>0</v>
          </cell>
          <cell r="K34">
            <v>0</v>
          </cell>
        </row>
        <row r="37">
          <cell r="C37" t="str">
            <v>SUB TOTAL</v>
          </cell>
          <cell r="G37">
            <v>34603545</v>
          </cell>
          <cell r="H37">
            <v>11825634</v>
          </cell>
          <cell r="I37">
            <v>799998.69796954258</v>
          </cell>
          <cell r="J37">
            <v>12607632.697969543</v>
          </cell>
          <cell r="K37">
            <v>20062400.5</v>
          </cell>
        </row>
        <row r="40">
          <cell r="C40" t="str">
            <v>PLUS : 14 %  VAT</v>
          </cell>
          <cell r="G40">
            <v>4844496.3000000007</v>
          </cell>
          <cell r="H40">
            <v>1655588.7600000002</v>
          </cell>
          <cell r="I40">
            <v>111999.81771573598</v>
          </cell>
          <cell r="J40">
            <v>1765068.5777157361</v>
          </cell>
          <cell r="K40">
            <v>2808736.0700000003</v>
          </cell>
        </row>
        <row r="43">
          <cell r="C43" t="str">
            <v>NETT VALUE OF CONSTRUCTION</v>
          </cell>
          <cell r="G43">
            <v>39448041.299999997</v>
          </cell>
          <cell r="H43">
            <v>13481222.76</v>
          </cell>
          <cell r="I43">
            <v>911998.51568527857</v>
          </cell>
          <cell r="J43">
            <v>14372701.275685279</v>
          </cell>
          <cell r="K43">
            <v>22871136.57</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1"/>
      <sheetName val="SCHED2"/>
      <sheetName val="SCHED3"/>
      <sheetName val="SCHED4"/>
      <sheetName val="SCHED5"/>
      <sheetName val="SCHED6"/>
      <sheetName val="SCHED7"/>
      <sheetName val="SCHED8"/>
      <sheetName val="SUMMARY"/>
    </sheetNames>
    <sheetDataSet>
      <sheetData sheetId="0"/>
      <sheetData sheetId="1" refreshError="1"/>
      <sheetData sheetId="2"/>
      <sheetData sheetId="3" refreshError="1"/>
      <sheetData sheetId="4"/>
      <sheetData sheetId="5" refreshError="1"/>
      <sheetData sheetId="6" refreshError="1"/>
      <sheetData sheetId="7"/>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 B1+B3"/>
      <sheetName val="IA CERTIFICATE"/>
      <sheetName val="JV Invoice"/>
      <sheetName val="Summary"/>
      <sheetName val="1200"/>
      <sheetName val="1300"/>
      <sheetName val="1400"/>
      <sheetName val="1500"/>
      <sheetName val="1600"/>
      <sheetName val="1700"/>
      <sheetName val="1800"/>
      <sheetName val="2100"/>
      <sheetName val="2200"/>
      <sheetName val="2300"/>
      <sheetName val="3200"/>
      <sheetName val="3300"/>
      <sheetName val="3400"/>
      <sheetName val="3500"/>
      <sheetName val="4100"/>
      <sheetName val="4200"/>
      <sheetName val="VO1"/>
      <sheetName val="5100"/>
      <sheetName val="5600"/>
      <sheetName val="5700"/>
      <sheetName val="5900"/>
      <sheetName val="8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WEPS inc"/>
      <sheetName val="WEPS Munic inc"/>
      <sheetName val="Megaflex inc"/>
      <sheetName val="Megaflex Munic inc"/>
      <sheetName val="Nightsave Large inc"/>
      <sheetName val="Nightsave Large Munic inc"/>
      <sheetName val="Miniflex inc"/>
      <sheetName val="Miniflex Munic inc"/>
      <sheetName val="Nightsave Small inc"/>
      <sheetName val="Nightsave Small Munic inc"/>
      <sheetName val="Ruraflex inc"/>
      <sheetName val="Ruraflex Munic inc"/>
      <sheetName val="Nightsave Rural inc"/>
      <sheetName val="Nightsave Rural Munic inc"/>
      <sheetName val="Businessrate inc"/>
      <sheetName val="Businessrate Munic inc"/>
      <sheetName val="Homepower inc"/>
      <sheetName val="Homepower Munic inc"/>
      <sheetName val="Homeflex REDESIGN inc"/>
      <sheetName val="Homelight inc"/>
      <sheetName val="Public Lighting inc"/>
      <sheetName val="Public Lighting Munic inc"/>
      <sheetName val="Landrate inc"/>
      <sheetName val="Landrate Munic inc"/>
      <sheetName val="TOuS"/>
      <sheetName val="TOuS Original"/>
      <sheetName val="DUoS"/>
      <sheetName val="Excess NAC"/>
      <sheetName val="Excess NAC munic"/>
      <sheetName val="Loss Factors"/>
      <sheetName val="Env lev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ow r="1">
          <cell r="AA1">
            <v>0.14000000000000001</v>
          </cell>
        </row>
      </sheetData>
      <sheetData sheetId="3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00 "/>
      <sheetName val="1700"/>
      <sheetName val="2100"/>
      <sheetName val="2200"/>
      <sheetName val="2300"/>
      <sheetName val="3100"/>
      <sheetName val="3300"/>
      <sheetName val="3400 "/>
      <sheetName val="3500"/>
      <sheetName val="3600"/>
      <sheetName val="4100"/>
      <sheetName val="4200"/>
      <sheetName val="5100"/>
      <sheetName val="5200"/>
      <sheetName val="5400"/>
      <sheetName val="5700"/>
      <sheetName val="5600"/>
      <sheetName val="5900"/>
      <sheetName val="7300"/>
      <sheetName val="8100"/>
      <sheetName val="GENERAL SUMMARY "/>
      <sheetName val="SUMMARY"/>
    </sheetNames>
    <sheetDataSet>
      <sheetData sheetId="0">
        <row r="81">
          <cell r="F81">
            <v>548550</v>
          </cell>
        </row>
      </sheetData>
      <sheetData sheetId="1">
        <row r="58">
          <cell r="F58">
            <v>88500</v>
          </cell>
        </row>
      </sheetData>
      <sheetData sheetId="2">
        <row r="58">
          <cell r="F58">
            <v>52875</v>
          </cell>
        </row>
      </sheetData>
      <sheetData sheetId="3">
        <row r="37">
          <cell r="F37">
            <v>519138.6</v>
          </cell>
        </row>
      </sheetData>
      <sheetData sheetId="4">
        <row r="65">
          <cell r="F65">
            <v>1081201.3999999999</v>
          </cell>
        </row>
      </sheetData>
      <sheetData sheetId="5">
        <row r="62">
          <cell r="F62">
            <v>2216250</v>
          </cell>
        </row>
      </sheetData>
      <sheetData sheetId="6">
        <row r="57">
          <cell r="F57">
            <v>4132759.71</v>
          </cell>
        </row>
      </sheetData>
      <sheetData sheetId="7">
        <row r="20">
          <cell r="D20">
            <v>2570.3999999999996</v>
          </cell>
        </row>
        <row r="25">
          <cell r="D25">
            <v>2434.5</v>
          </cell>
        </row>
      </sheetData>
      <sheetData sheetId="8">
        <row r="69">
          <cell r="F69">
            <v>982181.81999999983</v>
          </cell>
        </row>
      </sheetData>
      <sheetData sheetId="9">
        <row r="36">
          <cell r="G36">
            <v>348918.60000000003</v>
          </cell>
        </row>
      </sheetData>
      <sheetData sheetId="10" refreshError="1"/>
      <sheetData sheetId="11" refreshError="1"/>
      <sheetData sheetId="12">
        <row r="20">
          <cell r="F20">
            <v>1058192.5</v>
          </cell>
        </row>
      </sheetData>
      <sheetData sheetId="13">
        <row r="8">
          <cell r="B8" t="str">
            <v>GABIONS</v>
          </cell>
        </row>
        <row r="41">
          <cell r="A41" t="str">
            <v>TOTAL CARRIED TO SUMMARY</v>
          </cell>
        </row>
      </sheetData>
      <sheetData sheetId="14">
        <row r="8">
          <cell r="B8" t="str">
            <v>GUARDRAILS</v>
          </cell>
        </row>
      </sheetData>
      <sheetData sheetId="15">
        <row r="54">
          <cell r="H54">
            <v>51410</v>
          </cell>
        </row>
      </sheetData>
      <sheetData sheetId="16">
        <row r="61">
          <cell r="F61">
            <v>245100</v>
          </cell>
        </row>
      </sheetData>
      <sheetData sheetId="17">
        <row r="58">
          <cell r="F58">
            <v>52850</v>
          </cell>
        </row>
      </sheetData>
      <sheetData sheetId="18">
        <row r="52">
          <cell r="F52">
            <v>4471736</v>
          </cell>
        </row>
      </sheetData>
      <sheetData sheetId="19">
        <row r="59">
          <cell r="F59">
            <v>550000</v>
          </cell>
        </row>
      </sheetData>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6">
          <cell r="AA6">
            <v>86</v>
          </cell>
          <cell r="AI6">
            <v>75</v>
          </cell>
        </row>
        <row r="7">
          <cell r="AA7">
            <v>85.950360471496197</v>
          </cell>
          <cell r="AI7">
            <v>74.973928974258641</v>
          </cell>
        </row>
        <row r="8">
          <cell r="AA8">
            <v>85.785006388205829</v>
          </cell>
          <cell r="AI8">
            <v>74.846162072643452</v>
          </cell>
        </row>
        <row r="9">
          <cell r="AA9">
            <v>85.49322934362803</v>
          </cell>
          <cell r="AI9">
            <v>74.565475655466628</v>
          </cell>
        </row>
        <row r="10">
          <cell r="AA10">
            <v>85.068841818093276</v>
          </cell>
          <cell r="AI10">
            <v>74.092244849583793</v>
          </cell>
        </row>
        <row r="11">
          <cell r="AA11">
            <v>84.507335461242221</v>
          </cell>
          <cell r="AI11">
            <v>73.392522892346591</v>
          </cell>
        </row>
        <row r="12">
          <cell r="AA12">
            <v>83.805127142648445</v>
          </cell>
          <cell r="AI12">
            <v>72.435991770630153</v>
          </cell>
        </row>
        <row r="13">
          <cell r="AA13">
            <v>82.959227576373465</v>
          </cell>
          <cell r="AI13">
            <v>71.19492771573141</v>
          </cell>
        </row>
        <row r="14">
          <cell r="AA14">
            <v>81.967063614141608</v>
          </cell>
          <cell r="AI14">
            <v>69.643587395731529</v>
          </cell>
        </row>
        <row r="15">
          <cell r="AA15">
            <v>80.826371121957067</v>
          </cell>
          <cell r="AI15">
            <v>67.75780677502955</v>
          </cell>
        </row>
        <row r="16">
          <cell r="AA16">
            <v>79.535125129964399</v>
          </cell>
          <cell r="AI16">
            <v>65.514721247728673</v>
          </cell>
        </row>
        <row r="17">
          <cell r="AA17">
            <v>78.091491623924753</v>
          </cell>
          <cell r="AI17">
            <v>62.8925608826749</v>
          </cell>
        </row>
        <row r="18">
          <cell r="AA18">
            <v>76.49379280476235</v>
          </cell>
          <cell r="AI18">
            <v>59.870495098873619</v>
          </cell>
        </row>
        <row r="19">
          <cell r="AA19">
            <v>74.740481187436259</v>
          </cell>
          <cell r="AI19">
            <v>56.42851142402651</v>
          </cell>
        </row>
        <row r="20">
          <cell r="AA20">
            <v>72.83011975124677</v>
          </cell>
          <cell r="AI20">
            <v>52.547318641746173</v>
          </cell>
        </row>
        <row r="21">
          <cell r="AA21">
            <v>70.761366377773228</v>
          </cell>
          <cell r="AI21">
            <v>48.208267926059463</v>
          </cell>
        </row>
        <row r="22">
          <cell r="AA22">
            <v>68.532961414702015</v>
          </cell>
          <cell r="AI22">
            <v>43.393287579793757</v>
          </cell>
        </row>
        <row r="23">
          <cell r="AA23">
            <v>66.143717574202483</v>
          </cell>
          <cell r="AI23">
            <v>38.084828282697011</v>
          </cell>
        </row>
        <row r="24">
          <cell r="AA24">
            <v>63.592511611225575</v>
          </cell>
          <cell r="AI24">
            <v>32.265816608153514</v>
          </cell>
        </row>
        <row r="25">
          <cell r="AA25">
            <v>60.878277383364932</v>
          </cell>
          <cell r="AI25">
            <v>25.919615148799835</v>
          </cell>
        </row>
        <row r="26">
          <cell r="AA26">
            <v>58</v>
          </cell>
          <cell r="AI26">
            <v>19.029987998007172</v>
          </cell>
        </row>
        <row r="27">
          <cell r="AA27">
            <v>54.956710842224531</v>
          </cell>
          <cell r="AI27">
            <v>11.581070625062033</v>
          </cell>
        </row>
        <row r="28">
          <cell r="AA28">
            <v>51.747483287501346</v>
          </cell>
          <cell r="AI28">
            <v>3.5573433940659243</v>
          </cell>
        </row>
        <row r="29">
          <cell r="AA29">
            <v>48.371429010959098</v>
          </cell>
        </row>
        <row r="30">
          <cell r="AA30">
            <v>44.827694763226205</v>
          </cell>
        </row>
        <row r="31">
          <cell r="AA31">
            <v>41.115459545621277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SUMMARY"/>
      <sheetName val="SCHEDULE A"/>
      <sheetName val="SCHEDULE B"/>
    </sheetNames>
    <sheetDataSet>
      <sheetData sheetId="0" refreshError="1"/>
      <sheetData sheetId="1" refreshError="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IM Rev"/>
      <sheetName val="Notes"/>
      <sheetName val="Revenue Summary"/>
      <sheetName val="Subsidy"/>
      <sheetName val="Subsidy Phased"/>
      <sheetName val="&gt; 132kV NAC allocation"/>
      <sheetName val="WEPS design"/>
      <sheetName val="SPA design"/>
      <sheetName val="Megaflex design"/>
      <sheetName val="Nightsave Large design"/>
      <sheetName val="Nightsave Combo"/>
      <sheetName val="Miniflex design"/>
      <sheetName val="Nightsave Small design"/>
      <sheetName val="Ruraflex Tx+Dx 1"/>
      <sheetName val="Ruraflex Tx-Dx 2"/>
      <sheetName val="Ruraflex Dx 3"/>
      <sheetName val="Ruraflex AveP"/>
      <sheetName val="Ruraflex design"/>
      <sheetName val="Nightsave Rural Tx+Dx 1"/>
      <sheetName val="Nightsave Rural Tx-Dx 2"/>
      <sheetName val="Nightsave Rural Dx 3"/>
      <sheetName val="Nightsave Rural AveP"/>
      <sheetName val="Ruraflex 5.6"/>
      <sheetName val="Nightsave Rural design"/>
      <sheetName val="Nightsave Rural 5.6"/>
      <sheetName val="Transflex 1 design"/>
      <sheetName val="Transflex 2 design"/>
      <sheetName val="Transflex 1 NW"/>
      <sheetName val="Transflex 2 NW"/>
      <sheetName val="Transflex 1 Original"/>
      <sheetName val="Transflex 2 Original"/>
      <sheetName val="Businessrate design"/>
      <sheetName val="Businessrate 5.6"/>
      <sheetName val="Homepower design"/>
      <sheetName val="Homepower 5.6"/>
      <sheetName val="Homelight design"/>
      <sheetName val="Homeflex design"/>
      <sheetName val="HomelightT"/>
      <sheetName val="Public Lighting design"/>
      <sheetName val="Landrate 5-6"/>
      <sheetName val="Landrate 2"/>
      <sheetName val="Landrate 3"/>
      <sheetName val="Landrate AveP"/>
      <sheetName val="Landrate design"/>
      <sheetName val="Landrate 5.6"/>
      <sheetName val="Landlight design"/>
      <sheetName val="TarDef SPU @ 27.5%"/>
      <sheetName val="TarDef SPU Munic @ 27.5%"/>
      <sheetName val="TarDef LPU @ 27.5%"/>
      <sheetName val="TarDef LPU Munic @ 27.5%"/>
      <sheetName val="TarDef SPU @ 29.2%"/>
      <sheetName val="TarDef SPU Munic @ 28.3%"/>
      <sheetName val="TarDef LPU @ 29.2%"/>
      <sheetName val="TarDef LPU Munic @ 28.3%"/>
      <sheetName val="TarDef SPU @ 34.2%"/>
      <sheetName val="TarDef SPU Munic @ 35.9%"/>
      <sheetName val="TarDef LPU @ 34.2%"/>
      <sheetName val="TarDef LPU Munic @ 35.9%"/>
      <sheetName val="SPA"/>
      <sheetName val="WEPS"/>
      <sheetName val="Megaflex"/>
      <sheetName val="Megaflex Munic"/>
      <sheetName val="Nightsave Large"/>
      <sheetName val="Nightsave Large Munic"/>
      <sheetName val="Miniflex"/>
      <sheetName val="Miniflex Munic"/>
      <sheetName val="Nightsave Small"/>
      <sheetName val="Nightsave Small Munic"/>
      <sheetName val="Ruraflex"/>
      <sheetName val="Ruraflex Munic"/>
      <sheetName val="Nightsave Rural"/>
      <sheetName val="Nightsave Rural Munic"/>
      <sheetName val="Transflex 1"/>
      <sheetName val="Transflex 2"/>
      <sheetName val="Businessrate"/>
      <sheetName val="Businessrate Munic"/>
      <sheetName val="Homepower"/>
      <sheetName val="Homepower Munic"/>
      <sheetName val="Homelight"/>
      <sheetName val="Homelight Munic"/>
      <sheetName val="Homeflex"/>
      <sheetName val="Public Lighting"/>
      <sheetName val="Public Lighting Munic"/>
      <sheetName val="Landrate"/>
      <sheetName val="Landrate Munic"/>
      <sheetName val="Landlight"/>
      <sheetName val="WEPS inc"/>
      <sheetName val="Megaflex inc"/>
      <sheetName val="Megaflex Munic inc"/>
      <sheetName val="Nightsave Large inc"/>
      <sheetName val="Nightsave Large Munic inc"/>
      <sheetName val="Miniflex inc"/>
      <sheetName val="Miniflex Munic inc"/>
      <sheetName val="Nightsave Small inc"/>
      <sheetName val="Nightsave Small Munic inc"/>
      <sheetName val="Ruraflex inc"/>
      <sheetName val="Ruraflex Munic inc"/>
      <sheetName val="Nightsave Rural inc"/>
      <sheetName val="Nightsave Rural Munic inc"/>
      <sheetName val="Transflex 1 inc"/>
      <sheetName val="Transflex 2 inc"/>
      <sheetName val="Businessrate inc"/>
      <sheetName val="Businessrate Munic inc"/>
      <sheetName val="Homepower inc"/>
      <sheetName val="Homepower Munic inc"/>
      <sheetName val="Homelight inc"/>
      <sheetName val="Homelight Munic inc"/>
      <sheetName val="Homeflex inc"/>
      <sheetName val="Public Lighting inc"/>
      <sheetName val="Public Lighting Munic inc"/>
      <sheetName val="Landrate inc"/>
      <sheetName val="Landrate Munic inc"/>
      <sheetName val="Landlight inc"/>
      <sheetName val="ReCon"/>
      <sheetName val="Loss Factors"/>
      <sheetName val="Calcs"/>
      <sheetName val="TRP Retail Rates 2009-10"/>
      <sheetName val="T3 Plan08_VIC"/>
      <sheetName val="VIC_T3Man6_05_07"/>
    </sheetNames>
    <sheetDataSet>
      <sheetData sheetId="0"/>
      <sheetData sheetId="1"/>
      <sheetData sheetId="2"/>
      <sheetData sheetId="3">
        <row r="4">
          <cell r="X4">
            <v>16898025848.856472</v>
          </cell>
        </row>
        <row r="5">
          <cell r="X5">
            <v>16742489206.549044</v>
          </cell>
        </row>
        <row r="6">
          <cell r="F6">
            <v>30943701238.035667</v>
          </cell>
          <cell r="I6">
            <v>30887565515.435875</v>
          </cell>
          <cell r="L6">
            <v>33309559373.004807</v>
          </cell>
          <cell r="R6">
            <v>33369733133.441307</v>
          </cell>
          <cell r="U6">
            <v>33640515055.405518</v>
          </cell>
          <cell r="X6">
            <v>33640515055.405518</v>
          </cell>
        </row>
        <row r="9">
          <cell r="F9">
            <v>0</v>
          </cell>
          <cell r="I9">
            <v>0</v>
          </cell>
          <cell r="L9">
            <v>0</v>
          </cell>
          <cell r="R9">
            <v>0</v>
          </cell>
          <cell r="U9">
            <v>0</v>
          </cell>
        </row>
        <row r="10">
          <cell r="X10">
            <v>838756037.20921314</v>
          </cell>
        </row>
        <row r="11">
          <cell r="X11">
            <v>2504723176.5737019</v>
          </cell>
        </row>
        <row r="12">
          <cell r="F12">
            <v>3085616023.4485707</v>
          </cell>
          <cell r="I12">
            <v>3079915850.6237144</v>
          </cell>
          <cell r="L12">
            <v>3365082768.1402225</v>
          </cell>
          <cell r="R12">
            <v>3343479213.7829151</v>
          </cell>
          <cell r="U12">
            <v>3343479213.7829151</v>
          </cell>
          <cell r="X12">
            <v>3343479213.7829151</v>
          </cell>
        </row>
        <row r="13">
          <cell r="X13">
            <v>506365436.81866336</v>
          </cell>
        </row>
        <row r="14">
          <cell r="X14">
            <v>175891742.1013476</v>
          </cell>
        </row>
        <row r="15">
          <cell r="F15">
            <v>636128513.65758443</v>
          </cell>
          <cell r="I15">
            <v>634464556.79360271</v>
          </cell>
          <cell r="L15">
            <v>663453524.31289935</v>
          </cell>
          <cell r="R15">
            <v>683824150.13726926</v>
          </cell>
          <cell r="U15">
            <v>682257178.92001092</v>
          </cell>
          <cell r="X15">
            <v>682257178.92001092</v>
          </cell>
        </row>
        <row r="16">
          <cell r="X16">
            <v>341358614.47565353</v>
          </cell>
        </row>
        <row r="17">
          <cell r="X17">
            <v>36731041.797019273</v>
          </cell>
        </row>
        <row r="18">
          <cell r="F18">
            <v>339659521.88939875</v>
          </cell>
          <cell r="I18">
            <v>338574663.63232708</v>
          </cell>
          <cell r="L18">
            <v>393212678.14736998</v>
          </cell>
          <cell r="R18">
            <v>376138298.61141986</v>
          </cell>
          <cell r="U18">
            <v>378089656.27267277</v>
          </cell>
          <cell r="X18">
            <v>378089656.27267277</v>
          </cell>
        </row>
        <row r="19">
          <cell r="X19">
            <v>679110325.46229815</v>
          </cell>
        </row>
        <row r="20">
          <cell r="X20">
            <v>0</v>
          </cell>
        </row>
        <row r="21">
          <cell r="F21">
            <v>634040112.14611351</v>
          </cell>
          <cell r="I21">
            <v>634040112.14611351</v>
          </cell>
          <cell r="L21">
            <v>679110325.46229815</v>
          </cell>
          <cell r="R21">
            <v>679110325.46229815</v>
          </cell>
          <cell r="U21">
            <v>679110325.46229815</v>
          </cell>
          <cell r="X21">
            <v>679110325.46229815</v>
          </cell>
        </row>
        <row r="22">
          <cell r="X22">
            <v>162971290.73250842</v>
          </cell>
        </row>
        <row r="23">
          <cell r="X23">
            <v>0</v>
          </cell>
        </row>
        <row r="24">
          <cell r="F24">
            <v>153497681.12627396</v>
          </cell>
          <cell r="I24">
            <v>153497681.12627396</v>
          </cell>
          <cell r="L24">
            <v>162971290.73250842</v>
          </cell>
          <cell r="R24">
            <v>162971290.73250842</v>
          </cell>
          <cell r="U24">
            <v>162971290.73250842</v>
          </cell>
          <cell r="X24">
            <v>162971290.73250842</v>
          </cell>
        </row>
        <row r="25">
          <cell r="X25">
            <v>1091059367.8989398</v>
          </cell>
        </row>
        <row r="26">
          <cell r="X26">
            <v>338992870.53609455</v>
          </cell>
        </row>
        <row r="27">
          <cell r="F27">
            <v>1773896410.7223921</v>
          </cell>
          <cell r="I27">
            <v>1773896410.7223921</v>
          </cell>
          <cell r="L27">
            <v>1429940889.8320775</v>
          </cell>
          <cell r="R27">
            <v>1430052238.4350343</v>
          </cell>
          <cell r="U27">
            <v>1430052238.4350343</v>
          </cell>
          <cell r="X27">
            <v>1430052238.4350343</v>
          </cell>
        </row>
        <row r="28">
          <cell r="X28">
            <v>787337508.31442547</v>
          </cell>
        </row>
        <row r="34">
          <cell r="X34">
            <v>182474543.36410621</v>
          </cell>
        </row>
        <row r="35">
          <cell r="X35">
            <v>8918326.9671278652</v>
          </cell>
        </row>
        <row r="36">
          <cell r="F36">
            <v>164814291.01542109</v>
          </cell>
          <cell r="I36">
            <v>164293596.60971481</v>
          </cell>
          <cell r="L36">
            <v>190981652.21709874</v>
          </cell>
          <cell r="R36">
            <v>190981652.21709874</v>
          </cell>
          <cell r="U36">
            <v>190981652.21709874</v>
          </cell>
          <cell r="X36">
            <v>191392870.33123407</v>
          </cell>
        </row>
        <row r="37">
          <cell r="X37">
            <v>83386238.451161444</v>
          </cell>
        </row>
        <row r="38">
          <cell r="X38">
            <v>4292597.323395987</v>
          </cell>
        </row>
        <row r="39">
          <cell r="F39">
            <v>74744401.091745406</v>
          </cell>
          <cell r="I39">
            <v>74481440.488863647</v>
          </cell>
          <cell r="L39">
            <v>87478571.809675887</v>
          </cell>
          <cell r="R39">
            <v>87478571.809675887</v>
          </cell>
          <cell r="U39">
            <v>87478571.809675887</v>
          </cell>
          <cell r="X39">
            <v>87678835.774557427</v>
          </cell>
        </row>
        <row r="40">
          <cell r="X40">
            <v>120472526.43271749</v>
          </cell>
        </row>
        <row r="41">
          <cell r="X41">
            <v>5339960.1486766683</v>
          </cell>
        </row>
        <row r="42">
          <cell r="F42">
            <v>104448676.43095183</v>
          </cell>
          <cell r="I42">
            <v>104152752.67770883</v>
          </cell>
          <cell r="L42">
            <v>125483810.80136859</v>
          </cell>
          <cell r="R42">
            <v>125483810.80136859</v>
          </cell>
          <cell r="U42">
            <v>125483810.80136859</v>
          </cell>
          <cell r="X42">
            <v>125812486.58139415</v>
          </cell>
        </row>
        <row r="43">
          <cell r="X43">
            <v>578149.75824064948</v>
          </cell>
        </row>
        <row r="67">
          <cell r="X67">
            <v>3505083048.1690664</v>
          </cell>
        </row>
        <row r="68">
          <cell r="X68">
            <v>109591.74984744297</v>
          </cell>
        </row>
        <row r="69">
          <cell r="F69">
            <v>4645404682.5572233</v>
          </cell>
          <cell r="I69">
            <v>4645404682.5572233</v>
          </cell>
          <cell r="L69">
            <v>3505192639.9189138</v>
          </cell>
          <cell r="R69">
            <v>3505192639.9189138</v>
          </cell>
          <cell r="U69">
            <v>3505192639.9189138</v>
          </cell>
          <cell r="X69">
            <v>3505192639.9189138</v>
          </cell>
        </row>
        <row r="70">
          <cell r="X70">
            <v>17557570.743956834</v>
          </cell>
        </row>
        <row r="71">
          <cell r="X71">
            <v>29393397.47860565</v>
          </cell>
        </row>
        <row r="96">
          <cell r="F96">
            <v>9470114783.001627</v>
          </cell>
          <cell r="I96">
            <v>9469034291.0245266</v>
          </cell>
          <cell r="L96">
            <v>7487179276.1758099</v>
          </cell>
          <cell r="R96">
            <v>7487397303.9160318</v>
          </cell>
          <cell r="U96">
            <v>7487397303.9160318</v>
          </cell>
          <cell r="X96">
            <v>7486317765.8763065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ow r="19">
          <cell r="B19">
            <v>30.416666666666668</v>
          </cell>
        </row>
        <row r="61">
          <cell r="J61">
            <v>1.1116426027999999</v>
          </cell>
        </row>
        <row r="62">
          <cell r="J62">
            <v>1.0757831639</v>
          </cell>
        </row>
        <row r="63">
          <cell r="J63">
            <v>1.0364600292999999</v>
          </cell>
        </row>
        <row r="64">
          <cell r="J64">
            <v>1</v>
          </cell>
        </row>
        <row r="97">
          <cell r="H97">
            <v>0.26179999999999998</v>
          </cell>
        </row>
        <row r="98">
          <cell r="H98">
            <v>0.23230000000000001</v>
          </cell>
        </row>
        <row r="108">
          <cell r="H108">
            <v>0.14000000000000001</v>
          </cell>
        </row>
      </sheetData>
      <sheetData sheetId="117" refreshError="1"/>
      <sheetData sheetId="118" refreshError="1"/>
      <sheetData sheetId="1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ow r="15">
          <cell r="E15" t="str">
            <v>FETAKGOMO</v>
          </cell>
        </row>
        <row r="22">
          <cell r="G22" t="str">
            <v>Credit Card #1</v>
          </cell>
        </row>
        <row r="23">
          <cell r="E23">
            <v>0.14000000000000001</v>
          </cell>
          <cell r="G23" t="str">
            <v>Credit Card #2</v>
          </cell>
        </row>
        <row r="24">
          <cell r="D24" t="b">
            <v>0</v>
          </cell>
          <cell r="G24" t="str">
            <v>Credit Card #3</v>
          </cell>
        </row>
      </sheetData>
      <sheetData sheetId="2"/>
      <sheetData sheetId="3" refreshError="1"/>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Credit Note.1"/>
      <sheetName val="Inv. 1 Jan. 07"/>
      <sheetName val="Macros"/>
      <sheetName val="ATW"/>
      <sheetName val="Lock"/>
      <sheetName val="Intl Data Table"/>
      <sheetName val="TemplateInformation"/>
    </sheetNames>
    <sheetDataSet>
      <sheetData sheetId="0"/>
      <sheetData sheetId="1">
        <row r="26">
          <cell r="E26" t="str">
            <v>VAT</v>
          </cell>
        </row>
      </sheetData>
      <sheetData sheetId="2"/>
      <sheetData sheetId="3"/>
      <sheetData sheetId="4" refreshError="1"/>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master1"/>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sheetData sheetId="2">
        <row r="15">
          <cell r="E15" t="str">
            <v>FETAKGOMO</v>
          </cell>
        </row>
        <row r="22">
          <cell r="G22" t="str">
            <v>Credit Card #1</v>
          </cell>
        </row>
        <row r="23">
          <cell r="E23">
            <v>0.14000000000000001</v>
          </cell>
          <cell r="G23" t="str">
            <v>Credit Card #2</v>
          </cell>
        </row>
        <row r="24">
          <cell r="D24" t="b">
            <v>0</v>
          </cell>
          <cell r="G24" t="str">
            <v>Credit Card #3</v>
          </cell>
        </row>
      </sheetData>
      <sheetData sheetId="3"/>
      <sheetData sheetId="4" refreshError="1"/>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1 P&amp;G"/>
      <sheetName val="Bill2 Pipeline"/>
      <sheetName val="Bill3 200kl Res"/>
      <sheetName val="Bill4 600kl Res"/>
      <sheetName val="Bill5 Com Res"/>
      <sheetName val="Bill6 PSta"/>
      <sheetName val="Bill7 Dayw"/>
      <sheetName val="Sum"/>
    </sheetNames>
    <sheetDataSet>
      <sheetData sheetId="0">
        <row r="1">
          <cell r="A1" t="str">
            <v>GREATER SEKHUKHUNE DISTRICT MUNICIPALITY</v>
          </cell>
          <cell r="H1" t="str">
            <v>Bill 1</v>
          </cell>
        </row>
        <row r="2">
          <cell r="A2" t="str">
            <v>OLIFANTSPOORT SOUTH PHASE 6</v>
          </cell>
          <cell r="H2" t="str">
            <v>General</v>
          </cell>
        </row>
        <row r="3">
          <cell r="A3" t="str">
            <v>CONTRACT 1  :  TENDER NO. MIG 06/07/2/0029A</v>
          </cell>
        </row>
        <row r="4">
          <cell r="A4" t="str">
            <v>BILL 1  :  PRELIMINARY &amp; GENERAL</v>
          </cell>
        </row>
        <row r="5">
          <cell r="A5" t="str">
            <v>ITEM</v>
          </cell>
          <cell r="B5" t="str">
            <v>PAYM.</v>
          </cell>
          <cell r="C5" t="str">
            <v>DESCRIPTION</v>
          </cell>
          <cell r="E5" t="str">
            <v>UNIT</v>
          </cell>
          <cell r="F5" t="str">
            <v>QUANT.</v>
          </cell>
          <cell r="G5" t="str">
            <v>RATE</v>
          </cell>
          <cell r="H5" t="str">
            <v>AMOUNT</v>
          </cell>
        </row>
        <row r="6">
          <cell r="A6" t="str">
            <v>NO.</v>
          </cell>
          <cell r="B6" t="str">
            <v>REF.</v>
          </cell>
        </row>
        <row r="7">
          <cell r="B7" t="str">
            <v>SABS</v>
          </cell>
        </row>
        <row r="8">
          <cell r="B8" t="str">
            <v>1200A</v>
          </cell>
          <cell r="C8" t="str">
            <v>GENERAL</v>
          </cell>
        </row>
        <row r="9">
          <cell r="A9" t="str">
            <v>1.1</v>
          </cell>
          <cell r="B9" t="str">
            <v>8.3</v>
          </cell>
          <cell r="C9" t="str">
            <v>FIXED CHARGE AND VALUE-RELATED ITEMS</v>
          </cell>
        </row>
        <row r="10">
          <cell r="A10" t="str">
            <v>1.1.1</v>
          </cell>
          <cell r="B10" t="str">
            <v>8.3.1</v>
          </cell>
          <cell r="C10" t="str">
            <v>Contractual Requirements</v>
          </cell>
          <cell r="E10" t="str">
            <v>sum</v>
          </cell>
          <cell r="F10" t="str">
            <v>-</v>
          </cell>
          <cell r="G10" t="str">
            <v>-</v>
          </cell>
        </row>
        <row r="12">
          <cell r="A12" t="str">
            <v>1.1.2</v>
          </cell>
          <cell r="B12" t="str">
            <v>8.3.2</v>
          </cell>
          <cell r="C12" t="str">
            <v>Establish facilities on site</v>
          </cell>
        </row>
        <row r="13">
          <cell r="A13" t="str">
            <v>1.1.2.1</v>
          </cell>
          <cell r="B13" t="str">
            <v>8.3.2.1</v>
          </cell>
          <cell r="C13" t="str">
            <v>i)   Facilities for Engineer</v>
          </cell>
        </row>
        <row r="14">
          <cell r="B14" t="str">
            <v>PSAB1</v>
          </cell>
          <cell r="C14" t="str">
            <v>a)</v>
          </cell>
          <cell r="D14" t="str">
            <v>Furnished offices</v>
          </cell>
          <cell r="E14" t="str">
            <v>sum</v>
          </cell>
          <cell r="F14" t="str">
            <v>-</v>
          </cell>
          <cell r="G14" t="str">
            <v>-</v>
          </cell>
          <cell r="H14">
            <v>50000</v>
          </cell>
        </row>
        <row r="16">
          <cell r="C16" t="str">
            <v>b)</v>
          </cell>
          <cell r="D16" t="str">
            <v>Telephone</v>
          </cell>
          <cell r="E16" t="str">
            <v>sum</v>
          </cell>
          <cell r="F16" t="str">
            <v>-</v>
          </cell>
          <cell r="G16" t="str">
            <v>-</v>
          </cell>
        </row>
        <row r="18">
          <cell r="C18" t="str">
            <v>c)</v>
          </cell>
          <cell r="D18" t="str">
            <v>Name Boards (2 no )</v>
          </cell>
          <cell r="E18" t="str">
            <v>sum</v>
          </cell>
          <cell r="F18" t="str">
            <v>-</v>
          </cell>
          <cell r="G18" t="str">
            <v>-</v>
          </cell>
        </row>
        <row r="20">
          <cell r="A20" t="str">
            <v>1.1.2.2</v>
          </cell>
          <cell r="B20" t="str">
            <v>8.3.2.2</v>
          </cell>
          <cell r="C20" t="str">
            <v>ii)   Facilities for Contractor</v>
          </cell>
        </row>
        <row r="21">
          <cell r="C21" t="str">
            <v>a)</v>
          </cell>
          <cell r="D21" t="str">
            <v>Offices and storage sheds</v>
          </cell>
          <cell r="E21" t="str">
            <v>sum</v>
          </cell>
          <cell r="F21" t="str">
            <v>-</v>
          </cell>
          <cell r="G21" t="str">
            <v>-</v>
          </cell>
        </row>
        <row r="23">
          <cell r="C23" t="str">
            <v>b)</v>
          </cell>
          <cell r="D23" t="str">
            <v>Workshops</v>
          </cell>
          <cell r="E23" t="str">
            <v>sum</v>
          </cell>
          <cell r="F23" t="str">
            <v>-</v>
          </cell>
          <cell r="G23" t="str">
            <v>-</v>
          </cell>
        </row>
        <row r="25">
          <cell r="C25" t="str">
            <v>c)</v>
          </cell>
          <cell r="D25" t="str">
            <v>Laboratories</v>
          </cell>
          <cell r="E25" t="str">
            <v>sum</v>
          </cell>
          <cell r="F25" t="str">
            <v>-</v>
          </cell>
          <cell r="G25" t="str">
            <v>-</v>
          </cell>
        </row>
        <row r="27">
          <cell r="C27" t="str">
            <v>d)</v>
          </cell>
          <cell r="D27" t="str">
            <v>Living accommodation</v>
          </cell>
          <cell r="E27" t="str">
            <v>sum</v>
          </cell>
          <cell r="F27" t="str">
            <v>-</v>
          </cell>
          <cell r="G27" t="str">
            <v>-</v>
          </cell>
        </row>
        <row r="29">
          <cell r="C29" t="str">
            <v>e)</v>
          </cell>
          <cell r="D29" t="str">
            <v>Ablution and latrine facilities</v>
          </cell>
          <cell r="E29" t="str">
            <v>sum</v>
          </cell>
          <cell r="F29" t="str">
            <v>-</v>
          </cell>
          <cell r="G29" t="str">
            <v>-</v>
          </cell>
        </row>
        <row r="31">
          <cell r="C31" t="str">
            <v>f)</v>
          </cell>
          <cell r="D31" t="str">
            <v>Tools and equipment</v>
          </cell>
          <cell r="E31" t="str">
            <v>sum</v>
          </cell>
          <cell r="F31" t="str">
            <v>-</v>
          </cell>
          <cell r="G31" t="str">
            <v>-</v>
          </cell>
        </row>
        <row r="33">
          <cell r="C33" t="str">
            <v>g)</v>
          </cell>
          <cell r="D33" t="str">
            <v>Water supplies, electric power and communi-</v>
          </cell>
        </row>
        <row r="34">
          <cell r="C34" t="str">
            <v xml:space="preserve">           communications</v>
          </cell>
          <cell r="D34" t="str">
            <v>cations</v>
          </cell>
          <cell r="E34" t="str">
            <v>sum</v>
          </cell>
          <cell r="F34" t="str">
            <v>-</v>
          </cell>
          <cell r="G34" t="str">
            <v>-</v>
          </cell>
        </row>
        <row r="36">
          <cell r="C36" t="str">
            <v>h)</v>
          </cell>
          <cell r="D36" t="str">
            <v>Dealing with water</v>
          </cell>
          <cell r="E36" t="str">
            <v>sum</v>
          </cell>
          <cell r="F36" t="str">
            <v>-</v>
          </cell>
          <cell r="G36" t="str">
            <v>-</v>
          </cell>
        </row>
        <row r="38">
          <cell r="C38" t="str">
            <v>i)</v>
          </cell>
          <cell r="D38" t="str">
            <v>Access</v>
          </cell>
          <cell r="E38" t="str">
            <v>sum</v>
          </cell>
          <cell r="F38" t="str">
            <v>-</v>
          </cell>
          <cell r="G38" t="str">
            <v>-</v>
          </cell>
        </row>
        <row r="40">
          <cell r="C40" t="str">
            <v>j)</v>
          </cell>
          <cell r="D40" t="str">
            <v>Plant</v>
          </cell>
          <cell r="E40" t="str">
            <v>sum</v>
          </cell>
          <cell r="F40" t="str">
            <v>-</v>
          </cell>
          <cell r="G40" t="str">
            <v>-</v>
          </cell>
        </row>
        <row r="42">
          <cell r="C42" t="str">
            <v>k)</v>
          </cell>
          <cell r="D42" t="str">
            <v>Operational Health &amp; Safety (POHAS3.6)</v>
          </cell>
          <cell r="E42" t="str">
            <v>sum</v>
          </cell>
          <cell r="F42" t="str">
            <v>-</v>
          </cell>
          <cell r="G42" t="str">
            <v>-</v>
          </cell>
        </row>
        <row r="44">
          <cell r="A44" t="str">
            <v>1.1.3</v>
          </cell>
          <cell r="B44" t="str">
            <v>8.3.3</v>
          </cell>
          <cell r="C44" t="str">
            <v>Other fixed charge obligations</v>
          </cell>
          <cell r="E44" t="str">
            <v>sum</v>
          </cell>
          <cell r="F44" t="str">
            <v>-</v>
          </cell>
          <cell r="G44" t="str">
            <v>-</v>
          </cell>
        </row>
        <row r="46">
          <cell r="A46" t="str">
            <v>1.1.4</v>
          </cell>
          <cell r="B46" t="str">
            <v>8.3.4</v>
          </cell>
          <cell r="C46" t="str">
            <v>Removal of site establishment</v>
          </cell>
          <cell r="E46" t="str">
            <v>sum</v>
          </cell>
          <cell r="F46" t="str">
            <v>-</v>
          </cell>
          <cell r="G46" t="str">
            <v>-</v>
          </cell>
        </row>
        <row r="47">
          <cell r="B47" t="str">
            <v>SABS</v>
          </cell>
        </row>
        <row r="48">
          <cell r="B48" t="str">
            <v>1200A</v>
          </cell>
        </row>
        <row r="49">
          <cell r="A49" t="str">
            <v>1.2</v>
          </cell>
          <cell r="B49" t="str">
            <v>8.4</v>
          </cell>
          <cell r="C49" t="str">
            <v>TIME RELATED ITEMS</v>
          </cell>
        </row>
        <row r="50">
          <cell r="A50" t="str">
            <v>1.2.1</v>
          </cell>
          <cell r="B50" t="str">
            <v>8.4.1</v>
          </cell>
          <cell r="C50" t="str">
            <v>Contractual requirements</v>
          </cell>
          <cell r="E50" t="str">
            <v>sum</v>
          </cell>
          <cell r="F50" t="str">
            <v>-</v>
          </cell>
          <cell r="G50" t="str">
            <v>-</v>
          </cell>
        </row>
        <row r="52">
          <cell r="A52" t="str">
            <v>1.2.2</v>
          </cell>
          <cell r="B52" t="str">
            <v>8.4.2</v>
          </cell>
          <cell r="C52" t="str">
            <v>Operations and maintenance of facilities on site</v>
          </cell>
          <cell r="E52" t="str">
            <v xml:space="preserve"> </v>
          </cell>
        </row>
        <row r="53">
          <cell r="B53" t="str">
            <v>8.3.2.1</v>
          </cell>
          <cell r="C53" t="str">
            <v>i)   Facilities for Engineer</v>
          </cell>
        </row>
        <row r="54">
          <cell r="B54" t="str">
            <v>PSAB1</v>
          </cell>
          <cell r="C54" t="str">
            <v>a)</v>
          </cell>
          <cell r="D54" t="str">
            <v>Furnished offices</v>
          </cell>
          <cell r="E54" t="str">
            <v>sum</v>
          </cell>
          <cell r="F54" t="str">
            <v>-</v>
          </cell>
          <cell r="G54" t="str">
            <v>-</v>
          </cell>
        </row>
        <row r="56">
          <cell r="C56" t="str">
            <v>b)</v>
          </cell>
          <cell r="D56" t="str">
            <v>Telephone</v>
          </cell>
          <cell r="E56" t="str">
            <v>sum</v>
          </cell>
          <cell r="F56" t="str">
            <v>-</v>
          </cell>
          <cell r="G56" t="str">
            <v>-</v>
          </cell>
        </row>
        <row r="58">
          <cell r="C58" t="str">
            <v>c)</v>
          </cell>
          <cell r="D58" t="str">
            <v>Name Boards (2 no )</v>
          </cell>
          <cell r="E58" t="str">
            <v>sum</v>
          </cell>
          <cell r="F58" t="str">
            <v>-</v>
          </cell>
          <cell r="G58" t="str">
            <v>-</v>
          </cell>
        </row>
        <row r="60">
          <cell r="D60" t="str">
            <v>CARRIED FORWARD</v>
          </cell>
        </row>
        <row r="62">
          <cell r="D62" t="str">
            <v>BROUGHT FORWARD</v>
          </cell>
          <cell r="H62">
            <v>0</v>
          </cell>
        </row>
        <row r="63">
          <cell r="A63" t="str">
            <v>1.2.2.2</v>
          </cell>
          <cell r="B63" t="str">
            <v>8.4.2.2</v>
          </cell>
          <cell r="C63" t="str">
            <v>Facilities for Contractor</v>
          </cell>
        </row>
        <row r="64">
          <cell r="C64" t="str">
            <v>a)</v>
          </cell>
          <cell r="D64" t="str">
            <v>Offices and storage sheds</v>
          </cell>
          <cell r="E64" t="str">
            <v>sum</v>
          </cell>
          <cell r="F64" t="str">
            <v>-</v>
          </cell>
          <cell r="G64" t="str">
            <v>-</v>
          </cell>
        </row>
        <row r="66">
          <cell r="C66" t="str">
            <v>b)</v>
          </cell>
          <cell r="D66" t="str">
            <v>Workshops</v>
          </cell>
          <cell r="E66" t="str">
            <v>sum</v>
          </cell>
          <cell r="F66" t="str">
            <v>-</v>
          </cell>
          <cell r="G66" t="str">
            <v>-</v>
          </cell>
        </row>
        <row r="68">
          <cell r="C68" t="str">
            <v>c)</v>
          </cell>
          <cell r="D68" t="str">
            <v>Laboratories</v>
          </cell>
          <cell r="E68" t="str">
            <v>sum</v>
          </cell>
          <cell r="F68" t="str">
            <v>-</v>
          </cell>
          <cell r="G68" t="str">
            <v>-</v>
          </cell>
        </row>
        <row r="70">
          <cell r="C70" t="str">
            <v>d)</v>
          </cell>
          <cell r="D70" t="str">
            <v>Living accommodation</v>
          </cell>
          <cell r="E70" t="str">
            <v>sum</v>
          </cell>
          <cell r="F70" t="str">
            <v>-</v>
          </cell>
          <cell r="G70" t="str">
            <v>-</v>
          </cell>
        </row>
        <row r="72">
          <cell r="C72" t="str">
            <v>e)</v>
          </cell>
          <cell r="D72" t="str">
            <v>Ablution and latrine facilities</v>
          </cell>
          <cell r="E72" t="str">
            <v>sum</v>
          </cell>
          <cell r="F72" t="str">
            <v>-</v>
          </cell>
          <cell r="G72" t="str">
            <v>-</v>
          </cell>
        </row>
        <row r="74">
          <cell r="C74" t="str">
            <v>f)</v>
          </cell>
          <cell r="D74" t="str">
            <v>Tools and equipment</v>
          </cell>
          <cell r="E74" t="str">
            <v>sum</v>
          </cell>
        </row>
        <row r="76">
          <cell r="C76" t="str">
            <v>g)</v>
          </cell>
          <cell r="D76" t="str">
            <v>Water supplies, electric power and communi-</v>
          </cell>
        </row>
        <row r="77">
          <cell r="C77" t="str">
            <v xml:space="preserve">           communications</v>
          </cell>
          <cell r="D77" t="str">
            <v>cations</v>
          </cell>
          <cell r="E77" t="str">
            <v>sum</v>
          </cell>
          <cell r="F77" t="str">
            <v>-</v>
          </cell>
          <cell r="G77" t="str">
            <v>-</v>
          </cell>
        </row>
        <row r="79">
          <cell r="C79" t="str">
            <v>h)</v>
          </cell>
          <cell r="D79" t="str">
            <v>Dealing with water</v>
          </cell>
          <cell r="E79" t="str">
            <v>sum</v>
          </cell>
          <cell r="F79" t="str">
            <v>-</v>
          </cell>
          <cell r="G79" t="str">
            <v>-</v>
          </cell>
        </row>
        <row r="81">
          <cell r="C81" t="str">
            <v>i)</v>
          </cell>
          <cell r="D81" t="str">
            <v>Access</v>
          </cell>
          <cell r="E81" t="str">
            <v>sum</v>
          </cell>
          <cell r="F81" t="str">
            <v>-</v>
          </cell>
          <cell r="G81" t="str">
            <v>-</v>
          </cell>
        </row>
        <row r="83">
          <cell r="C83" t="str">
            <v>j)</v>
          </cell>
          <cell r="D83" t="str">
            <v>Plant</v>
          </cell>
          <cell r="E83" t="str">
            <v>sum</v>
          </cell>
          <cell r="F83" t="str">
            <v>-</v>
          </cell>
          <cell r="G83" t="str">
            <v>-</v>
          </cell>
        </row>
        <row r="85">
          <cell r="C85" t="str">
            <v>k)</v>
          </cell>
          <cell r="D85" t="str">
            <v>Operational Health &amp; Safety (POHAS3.6)</v>
          </cell>
          <cell r="E85" t="str">
            <v>sum</v>
          </cell>
          <cell r="F85" t="str">
            <v>-</v>
          </cell>
          <cell r="G85" t="str">
            <v>-</v>
          </cell>
        </row>
        <row r="87">
          <cell r="A87" t="str">
            <v>1.2.3</v>
          </cell>
          <cell r="B87" t="str">
            <v>8.4.3</v>
          </cell>
          <cell r="C87" t="str">
            <v>Supervision for duration of the construction</v>
          </cell>
          <cell r="E87" t="str">
            <v>sum</v>
          </cell>
          <cell r="F87" t="str">
            <v>-</v>
          </cell>
          <cell r="G87" t="str">
            <v>-</v>
          </cell>
        </row>
        <row r="89">
          <cell r="A89" t="str">
            <v>1.2.4</v>
          </cell>
          <cell r="B89" t="str">
            <v>8.4.4</v>
          </cell>
          <cell r="C89" t="str">
            <v>Company and Head Office overhead costs for the</v>
          </cell>
        </row>
        <row r="90">
          <cell r="C90" t="str">
            <v>duration of the Contract</v>
          </cell>
          <cell r="E90" t="str">
            <v>sum</v>
          </cell>
          <cell r="F90" t="str">
            <v>-</v>
          </cell>
          <cell r="G90" t="str">
            <v>-</v>
          </cell>
        </row>
        <row r="92">
          <cell r="A92" t="str">
            <v>1.2.5</v>
          </cell>
          <cell r="B92" t="str">
            <v>8.4.5</v>
          </cell>
          <cell r="C92" t="str">
            <v>Other time related obligations</v>
          </cell>
          <cell r="E92" t="str">
            <v>sum</v>
          </cell>
          <cell r="F92" t="str">
            <v>-</v>
          </cell>
          <cell r="G92" t="str">
            <v>-</v>
          </cell>
        </row>
        <row r="94">
          <cell r="A94" t="str">
            <v>1.3</v>
          </cell>
          <cell r="B94" t="str">
            <v>8.5</v>
          </cell>
          <cell r="C94" t="str">
            <v xml:space="preserve">SUMS STATED PROVISIONALLY BY THE </v>
          </cell>
        </row>
        <row r="95">
          <cell r="C95" t="str">
            <v>ENGINEER</v>
          </cell>
        </row>
        <row r="96">
          <cell r="C96" t="str">
            <v>Provisional Sum</v>
          </cell>
        </row>
        <row r="97">
          <cell r="A97" t="str">
            <v>1.3.1</v>
          </cell>
          <cell r="B97" t="str">
            <v xml:space="preserve"> </v>
          </cell>
          <cell r="C97" t="str">
            <v>Material to be used during execution of dayworks</v>
          </cell>
          <cell r="E97" t="str">
            <v>sum</v>
          </cell>
          <cell r="F97" t="str">
            <v>-</v>
          </cell>
          <cell r="G97" t="str">
            <v>-</v>
          </cell>
          <cell r="H97">
            <v>120000</v>
          </cell>
        </row>
        <row r="98">
          <cell r="C98" t="str">
            <v>(Refer PSA8.2)</v>
          </cell>
        </row>
        <row r="100">
          <cell r="A100" t="str">
            <v>1.3.2</v>
          </cell>
          <cell r="B100" t="str">
            <v xml:space="preserve"> </v>
          </cell>
          <cell r="C100" t="str">
            <v>Percentage adjustment to item 1.3.1 to cover</v>
          </cell>
          <cell r="G100" t="str">
            <v xml:space="preserve"> </v>
          </cell>
        </row>
        <row r="101">
          <cell r="C101" t="str">
            <v>Contractor's expenses with regard to item 1.3.1</v>
          </cell>
        </row>
        <row r="102">
          <cell r="A102" t="str">
            <v xml:space="preserve"> </v>
          </cell>
          <cell r="C102" t="str">
            <v>(max 10%)</v>
          </cell>
          <cell r="E102" t="str">
            <v>%</v>
          </cell>
          <cell r="F102">
            <v>120000</v>
          </cell>
        </row>
        <row r="104">
          <cell r="A104" t="str">
            <v>1.3.3</v>
          </cell>
          <cell r="B104" t="str">
            <v>PSA8.1</v>
          </cell>
          <cell r="C104" t="str">
            <v>Contingencies</v>
          </cell>
          <cell r="E104" t="str">
            <v>sum</v>
          </cell>
          <cell r="F104" t="str">
            <v>-</v>
          </cell>
          <cell r="G104" t="str">
            <v>-</v>
          </cell>
          <cell r="H104">
            <v>1000000</v>
          </cell>
        </row>
        <row r="106">
          <cell r="A106" t="str">
            <v>1.4</v>
          </cell>
          <cell r="C106" t="str">
            <v>SUMS STATED PROVISIONALLY BY THE</v>
          </cell>
        </row>
        <row r="107">
          <cell r="C107" t="str">
            <v>ENGINEER</v>
          </cell>
        </row>
        <row r="108">
          <cell r="C108" t="str">
            <v>(NOT SUBJECT TO RETENTION OR ESCALA-</v>
          </cell>
        </row>
        <row r="109">
          <cell r="C109" t="str">
            <v>TION)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58"/>
  <sheetViews>
    <sheetView view="pageBreakPreview" topLeftCell="A31" zoomScale="115" zoomScaleNormal="100" zoomScaleSheetLayoutView="115" workbookViewId="0">
      <selection activeCell="B52" sqref="B52"/>
    </sheetView>
  </sheetViews>
  <sheetFormatPr defaultColWidth="9.109375" defaultRowHeight="13.2"/>
  <cols>
    <col min="1" max="1" width="8.6640625" style="212" customWidth="1"/>
    <col min="2" max="2" width="9.5546875" style="212" customWidth="1"/>
    <col min="3" max="3" width="10.109375" style="212" customWidth="1"/>
    <col min="4" max="4" width="11.44140625" style="212" customWidth="1"/>
    <col min="5" max="5" width="11.5546875" style="212" customWidth="1"/>
    <col min="6" max="6" width="12.44140625" style="212" customWidth="1"/>
    <col min="7" max="7" width="10.5546875" style="212" customWidth="1"/>
    <col min="8" max="8" width="10.109375" style="212" customWidth="1"/>
    <col min="9" max="9" width="11" style="212" customWidth="1"/>
    <col min="10" max="10" width="12.6640625" style="212" customWidth="1"/>
    <col min="11" max="11" width="1" style="212" customWidth="1"/>
    <col min="12" max="12" width="0.44140625" style="204" customWidth="1"/>
    <col min="13" max="13" width="2.6640625" style="204" customWidth="1"/>
    <col min="14" max="14" width="5.33203125" style="204" customWidth="1"/>
    <col min="15" max="15" width="12" style="204" customWidth="1"/>
    <col min="16" max="16" width="13.109375" style="204" customWidth="1"/>
    <col min="17" max="17" width="11" style="204" customWidth="1"/>
    <col min="18" max="18" width="9.33203125" style="204" customWidth="1"/>
    <col min="19" max="19" width="8.5546875" style="204" customWidth="1"/>
    <col min="20" max="20" width="12.33203125" style="204" customWidth="1"/>
    <col min="21" max="21" width="13.109375" style="204" customWidth="1"/>
    <col min="22" max="22" width="13.5546875" style="204" customWidth="1"/>
    <col min="23" max="23" width="16.6640625" style="204" bestFit="1" customWidth="1"/>
    <col min="24" max="24" width="9.109375" style="204"/>
    <col min="25" max="25" width="13.6640625" style="204" bestFit="1" customWidth="1"/>
    <col min="26" max="26" width="12" style="204" bestFit="1" customWidth="1"/>
    <col min="27" max="27" width="9.109375" style="204"/>
    <col min="28" max="28" width="12" style="204" bestFit="1" customWidth="1"/>
    <col min="29" max="16384" width="9.109375" style="204"/>
  </cols>
  <sheetData>
    <row r="1" spans="1:23" s="202" customFormat="1" ht="14.25" customHeight="1">
      <c r="A1" s="2063" t="s">
        <v>158</v>
      </c>
      <c r="B1" s="2063"/>
      <c r="C1" s="2063"/>
      <c r="D1" s="2063"/>
      <c r="E1" s="2063"/>
      <c r="F1" s="2063"/>
      <c r="G1" s="2063"/>
      <c r="H1" s="2063"/>
      <c r="I1" s="2063"/>
      <c r="J1" s="2063"/>
      <c r="K1" s="201"/>
      <c r="N1" s="2064" t="str">
        <f>A1</f>
        <v>GREATER GIYANI MUNICIPALITY</v>
      </c>
      <c r="O1" s="2065"/>
      <c r="P1" s="2065"/>
      <c r="Q1" s="2065"/>
      <c r="R1" s="2065"/>
      <c r="S1" s="2065"/>
      <c r="T1" s="2065"/>
      <c r="U1" s="2065"/>
      <c r="V1" s="2065"/>
      <c r="W1" s="203" t="s">
        <v>569</v>
      </c>
    </row>
    <row r="2" spans="1:23" s="202" customFormat="1" ht="14.25" customHeight="1">
      <c r="A2" s="2066" t="s">
        <v>570</v>
      </c>
      <c r="B2" s="2066"/>
      <c r="C2" s="2066"/>
      <c r="D2" s="2066"/>
      <c r="E2" s="2066"/>
      <c r="F2" s="2066"/>
      <c r="G2" s="2066"/>
      <c r="H2" s="2066"/>
      <c r="I2" s="2066"/>
      <c r="J2" s="2066"/>
      <c r="K2" s="201"/>
      <c r="N2" s="2067" t="s">
        <v>571</v>
      </c>
      <c r="O2" s="2068"/>
      <c r="P2" s="2068"/>
      <c r="Q2" s="2068"/>
      <c r="R2" s="2068"/>
      <c r="S2" s="2068"/>
      <c r="T2" s="2068"/>
      <c r="U2" s="2068"/>
      <c r="V2" s="2068"/>
      <c r="W2" s="204"/>
    </row>
    <row r="3" spans="1:23" s="202" customFormat="1" ht="8.1" customHeight="1">
      <c r="A3" s="205"/>
      <c r="B3" s="206"/>
      <c r="C3" s="206"/>
      <c r="D3" s="206"/>
      <c r="E3" s="206"/>
      <c r="F3" s="206"/>
      <c r="G3" s="206"/>
      <c r="H3" s="206"/>
      <c r="I3" s="206"/>
      <c r="J3" s="206"/>
      <c r="K3" s="201"/>
      <c r="N3" s="207"/>
      <c r="O3" s="204"/>
      <c r="P3" s="204"/>
      <c r="Q3" s="204"/>
      <c r="R3" s="204"/>
      <c r="S3" s="204"/>
      <c r="T3" s="204"/>
      <c r="U3" s="204"/>
      <c r="V3" s="204"/>
      <c r="W3" s="204"/>
    </row>
    <row r="4" spans="1:23" ht="18" customHeight="1">
      <c r="A4" s="208" t="s">
        <v>572</v>
      </c>
      <c r="B4" s="209"/>
      <c r="C4" s="209"/>
      <c r="D4" s="210" t="s">
        <v>568</v>
      </c>
      <c r="E4" s="210"/>
      <c r="F4" s="210"/>
      <c r="G4" s="210"/>
      <c r="H4" s="210"/>
      <c r="I4" s="211"/>
      <c r="J4" s="211"/>
      <c r="N4" s="213" t="s">
        <v>573</v>
      </c>
      <c r="O4" s="214" t="s">
        <v>827</v>
      </c>
      <c r="P4" s="215"/>
      <c r="Q4" s="213" t="s">
        <v>574</v>
      </c>
      <c r="R4" s="216">
        <f>D41</f>
        <v>1</v>
      </c>
      <c r="S4" s="217"/>
      <c r="T4" s="213" t="s">
        <v>575</v>
      </c>
      <c r="U4" s="218" t="str">
        <f>B28</f>
        <v>Eternity Star Investment 231cc</v>
      </c>
      <c r="V4" s="219"/>
      <c r="W4" s="217"/>
    </row>
    <row r="5" spans="1:23" ht="4.5" customHeight="1" thickBot="1">
      <c r="A5" s="220"/>
      <c r="B5" s="209"/>
      <c r="C5" s="209"/>
      <c r="D5" s="221"/>
      <c r="E5" s="221"/>
      <c r="F5" s="221"/>
      <c r="G5" s="221"/>
      <c r="H5" s="221"/>
      <c r="I5" s="222"/>
      <c r="J5" s="222"/>
      <c r="N5" s="217"/>
      <c r="O5" s="217"/>
      <c r="P5" s="217"/>
      <c r="Q5" s="217"/>
      <c r="R5" s="217"/>
      <c r="S5" s="217"/>
      <c r="T5" s="217"/>
      <c r="U5" s="217"/>
      <c r="V5" s="217"/>
      <c r="W5" s="223"/>
    </row>
    <row r="6" spans="1:23" ht="11.25" customHeight="1" thickTop="1">
      <c r="A6" s="224" t="s">
        <v>576</v>
      </c>
      <c r="B6" s="225"/>
      <c r="C6" s="225"/>
      <c r="D6" s="225"/>
      <c r="E6" s="225"/>
      <c r="F6" s="226" t="s">
        <v>577</v>
      </c>
      <c r="G6" s="225"/>
      <c r="H6" s="225"/>
      <c r="I6" s="225"/>
      <c r="J6" s="227"/>
      <c r="N6" s="228"/>
      <c r="O6" s="229"/>
      <c r="P6" s="229"/>
      <c r="Q6" s="228"/>
      <c r="R6" s="229"/>
      <c r="S6" s="229"/>
      <c r="T6" s="228"/>
      <c r="U6" s="229"/>
      <c r="V6" s="229"/>
      <c r="W6" s="229"/>
    </row>
    <row r="7" spans="1:23" ht="11.25" customHeight="1">
      <c r="A7" s="230" t="s">
        <v>578</v>
      </c>
      <c r="B7" s="231"/>
      <c r="C7" s="231"/>
      <c r="D7" s="231"/>
      <c r="E7" s="231"/>
      <c r="F7" s="232" t="s">
        <v>579</v>
      </c>
      <c r="G7" s="231"/>
      <c r="H7" s="231"/>
      <c r="I7" s="231"/>
      <c r="J7" s="233"/>
      <c r="N7" s="234"/>
      <c r="O7" s="235" t="s">
        <v>580</v>
      </c>
      <c r="P7" s="236"/>
      <c r="Q7" s="236"/>
      <c r="R7" s="236"/>
      <c r="S7" s="236"/>
      <c r="T7" s="237"/>
      <c r="U7" s="217"/>
      <c r="V7" s="238">
        <f>I53</f>
        <v>0</v>
      </c>
      <c r="W7" s="898"/>
    </row>
    <row r="8" spans="1:23" ht="11.25" customHeight="1">
      <c r="A8" s="230" t="s">
        <v>581</v>
      </c>
      <c r="B8" s="231"/>
      <c r="C8" s="231"/>
      <c r="D8" s="231"/>
      <c r="E8" s="231"/>
      <c r="F8" s="239"/>
      <c r="G8" s="240"/>
      <c r="H8" s="240"/>
      <c r="I8" s="240"/>
      <c r="J8" s="241"/>
      <c r="N8" s="242"/>
      <c r="O8" s="237"/>
      <c r="P8" s="235" t="s">
        <v>828</v>
      </c>
      <c r="Q8" s="236"/>
      <c r="R8" s="235"/>
      <c r="S8" s="235"/>
      <c r="T8" s="237"/>
      <c r="U8" s="243"/>
      <c r="V8" s="244">
        <f>V50</f>
        <v>0</v>
      </c>
      <c r="W8" s="898"/>
    </row>
    <row r="9" spans="1:23" ht="11.25" customHeight="1">
      <c r="A9" s="230"/>
      <c r="B9" s="231"/>
      <c r="C9" s="231"/>
      <c r="D9" s="231"/>
      <c r="E9" s="231"/>
      <c r="F9" s="245"/>
      <c r="G9" s="240"/>
      <c r="H9" s="240"/>
      <c r="I9" s="240"/>
      <c r="J9" s="241"/>
      <c r="N9" s="242"/>
      <c r="O9" s="237"/>
      <c r="P9" s="235"/>
      <c r="Q9" s="236"/>
      <c r="R9" s="235"/>
      <c r="S9" s="235"/>
      <c r="T9" s="237"/>
      <c r="U9" s="243"/>
      <c r="V9" s="244"/>
      <c r="W9" s="898"/>
    </row>
    <row r="10" spans="1:23" ht="9.9" customHeight="1">
      <c r="A10" s="232"/>
      <c r="B10" s="240"/>
      <c r="C10" s="240"/>
      <c r="D10" s="240"/>
      <c r="E10" s="240"/>
      <c r="F10" s="239"/>
      <c r="G10" s="240"/>
      <c r="H10" s="240"/>
      <c r="I10" s="240"/>
      <c r="J10" s="241"/>
      <c r="N10" s="242"/>
      <c r="O10" s="237"/>
      <c r="P10" s="235" t="s">
        <v>582</v>
      </c>
      <c r="Q10" s="236"/>
      <c r="R10" s="235"/>
      <c r="S10" s="235"/>
      <c r="T10" s="237"/>
      <c r="U10" s="243" t="s">
        <v>583</v>
      </c>
      <c r="V10" s="246">
        <f>V54</f>
        <v>0</v>
      </c>
      <c r="W10" s="898"/>
    </row>
    <row r="11" spans="1:23" ht="15.75" customHeight="1">
      <c r="A11" s="2069" t="s">
        <v>858</v>
      </c>
      <c r="B11" s="2070"/>
      <c r="C11" s="2091"/>
      <c r="D11" s="2091"/>
      <c r="E11" s="895"/>
      <c r="F11" s="2071" t="s">
        <v>584</v>
      </c>
      <c r="G11" s="2072"/>
      <c r="H11" s="240" t="s">
        <v>584</v>
      </c>
      <c r="I11" s="240"/>
      <c r="J11" s="241"/>
      <c r="N11" s="242"/>
      <c r="O11" s="237"/>
      <c r="P11" s="247"/>
      <c r="Q11" s="237"/>
      <c r="R11" s="247"/>
      <c r="S11" s="247"/>
      <c r="T11" s="237"/>
      <c r="U11" s="243"/>
      <c r="V11" s="246">
        <f>V7-V8-V10</f>
        <v>0</v>
      </c>
      <c r="W11" s="898"/>
    </row>
    <row r="12" spans="1:23" ht="17.25" customHeight="1" thickBot="1">
      <c r="A12" s="2073" t="s">
        <v>585</v>
      </c>
      <c r="B12" s="2074"/>
      <c r="C12" s="248" t="s">
        <v>586</v>
      </c>
      <c r="D12" s="240"/>
      <c r="E12" s="240"/>
      <c r="F12" s="2075" t="s">
        <v>587</v>
      </c>
      <c r="G12" s="2076"/>
      <c r="H12" s="249" t="s">
        <v>588</v>
      </c>
      <c r="I12" s="240"/>
      <c r="J12" s="241"/>
      <c r="N12" s="242"/>
      <c r="O12" s="237"/>
      <c r="P12" s="247"/>
      <c r="Q12" s="237"/>
      <c r="R12" s="247"/>
      <c r="S12" s="247"/>
      <c r="T12" s="237"/>
      <c r="U12" s="243" t="s">
        <v>857</v>
      </c>
      <c r="V12" s="244">
        <f>0.15*V11</f>
        <v>0</v>
      </c>
      <c r="W12" s="898"/>
    </row>
    <row r="13" spans="1:23" ht="13.5" customHeight="1" thickBot="1">
      <c r="A13" s="250"/>
      <c r="B13" s="251"/>
      <c r="C13" s="251"/>
      <c r="D13" s="240"/>
      <c r="E13" s="240"/>
      <c r="F13" s="239"/>
      <c r="G13" s="240"/>
      <c r="H13" s="240"/>
      <c r="I13" s="240"/>
      <c r="J13" s="241"/>
      <c r="N13" s="242"/>
      <c r="O13" s="217"/>
      <c r="P13" s="217"/>
      <c r="Q13" s="217"/>
      <c r="R13" s="217"/>
      <c r="S13" s="217" t="s">
        <v>9</v>
      </c>
      <c r="T13" s="217"/>
      <c r="U13" s="252" t="s">
        <v>566</v>
      </c>
      <c r="V13" s="253">
        <f>V11+V12</f>
        <v>0</v>
      </c>
      <c r="W13" s="898"/>
    </row>
    <row r="14" spans="1:23" ht="16.5" customHeight="1" thickBot="1">
      <c r="A14" s="255" t="s">
        <v>589</v>
      </c>
      <c r="B14" s="256"/>
      <c r="C14" s="2089" t="s">
        <v>852</v>
      </c>
      <c r="D14" s="2089"/>
      <c r="E14" s="894"/>
      <c r="F14" s="257" t="s">
        <v>590</v>
      </c>
      <c r="G14" s="240"/>
      <c r="H14" s="240" t="s">
        <v>584</v>
      </c>
      <c r="I14" s="240"/>
      <c r="J14" s="241"/>
      <c r="W14" s="258"/>
    </row>
    <row r="15" spans="1:23" ht="18.75" customHeight="1" thickBot="1">
      <c r="A15" s="250"/>
      <c r="B15" s="251"/>
      <c r="C15" s="251"/>
      <c r="D15" s="259"/>
      <c r="E15" s="240"/>
      <c r="F15" s="239"/>
      <c r="G15" s="240"/>
      <c r="H15" s="240"/>
      <c r="I15" s="240"/>
      <c r="J15" s="241"/>
      <c r="N15" s="234"/>
      <c r="O15" s="235" t="s">
        <v>591</v>
      </c>
      <c r="P15" s="260"/>
      <c r="Q15" s="260"/>
      <c r="R15" s="260"/>
      <c r="S15" s="260"/>
      <c r="T15" s="260"/>
      <c r="U15" s="217"/>
      <c r="V15" s="261">
        <f>0.1*I50</f>
        <v>0</v>
      </c>
      <c r="W15" s="217" t="s">
        <v>592</v>
      </c>
    </row>
    <row r="16" spans="1:23" ht="18" customHeight="1" thickBot="1">
      <c r="A16" s="262" t="s">
        <v>593</v>
      </c>
      <c r="B16" s="263"/>
      <c r="C16" s="2090" t="s">
        <v>853</v>
      </c>
      <c r="D16" s="2090"/>
      <c r="E16" s="264"/>
      <c r="F16" s="265" t="s">
        <v>594</v>
      </c>
      <c r="G16" s="264"/>
      <c r="H16" s="264" t="s">
        <v>584</v>
      </c>
      <c r="I16" s="264"/>
      <c r="J16" s="266"/>
      <c r="N16" s="242"/>
      <c r="O16" s="237" t="s">
        <v>595</v>
      </c>
      <c r="P16" s="217"/>
      <c r="Q16" s="267"/>
      <c r="R16" s="267"/>
      <c r="S16" s="267"/>
      <c r="T16" s="267"/>
      <c r="U16" s="243" t="s">
        <v>854</v>
      </c>
      <c r="V16" s="268">
        <f>V15*0.15</f>
        <v>0</v>
      </c>
      <c r="W16" s="269"/>
    </row>
    <row r="17" spans="1:24" ht="9.9" customHeight="1">
      <c r="A17" s="270" t="s">
        <v>596</v>
      </c>
      <c r="B17" s="231"/>
      <c r="C17" s="231"/>
      <c r="E17" s="231"/>
      <c r="F17" s="226" t="s">
        <v>597</v>
      </c>
      <c r="G17" s="231"/>
      <c r="H17" s="231"/>
      <c r="I17" s="231"/>
      <c r="J17" s="233"/>
      <c r="N17" s="242"/>
      <c r="O17" s="217"/>
      <c r="P17" s="217"/>
      <c r="Q17" s="217"/>
      <c r="R17" s="217"/>
      <c r="S17" s="217"/>
      <c r="T17" s="217"/>
      <c r="U17" s="252" t="s">
        <v>566</v>
      </c>
      <c r="V17" s="271">
        <f>V15+V16</f>
        <v>0</v>
      </c>
      <c r="W17" s="254"/>
    </row>
    <row r="18" spans="1:24" ht="9.9" customHeight="1" thickBot="1">
      <c r="A18" s="230" t="s">
        <v>598</v>
      </c>
      <c r="B18" s="231"/>
      <c r="C18" s="231"/>
      <c r="E18" s="231"/>
      <c r="F18" s="232" t="s">
        <v>599</v>
      </c>
      <c r="G18" s="231"/>
      <c r="H18" s="231"/>
      <c r="I18" s="231"/>
      <c r="J18" s="233"/>
      <c r="N18" s="272"/>
      <c r="O18" s="272"/>
      <c r="P18" s="272"/>
      <c r="Q18" s="272"/>
      <c r="R18" s="272"/>
      <c r="S18" s="272"/>
      <c r="T18" s="272"/>
      <c r="U18" s="272"/>
      <c r="V18" s="272"/>
      <c r="W18" s="272"/>
    </row>
    <row r="19" spans="1:24" ht="5.25" customHeight="1" thickTop="1" thickBot="1">
      <c r="A19" s="273"/>
      <c r="B19" s="240"/>
      <c r="C19" s="240"/>
      <c r="D19" s="274"/>
      <c r="E19" s="240"/>
      <c r="F19" s="239"/>
      <c r="G19" s="240"/>
      <c r="H19" s="240"/>
      <c r="I19" s="240"/>
      <c r="J19" s="241"/>
    </row>
    <row r="20" spans="1:24" ht="12.75" customHeight="1" thickBot="1">
      <c r="A20" s="273" t="s">
        <v>600</v>
      </c>
      <c r="B20" s="240"/>
      <c r="C20" s="240" t="s">
        <v>601</v>
      </c>
      <c r="D20" s="274"/>
      <c r="E20" s="240"/>
      <c r="F20" s="239"/>
      <c r="G20" s="240"/>
      <c r="H20" s="240"/>
      <c r="I20" s="240"/>
      <c r="J20" s="241"/>
      <c r="O20" s="275" t="s">
        <v>602</v>
      </c>
      <c r="P20" s="276"/>
      <c r="Q20" s="276"/>
      <c r="R20" s="277"/>
      <c r="S20" s="278"/>
      <c r="T20" s="279" t="s">
        <v>603</v>
      </c>
      <c r="U20" s="277"/>
      <c r="V20" s="280" t="s">
        <v>6</v>
      </c>
    </row>
    <row r="21" spans="1:24" ht="9.9" customHeight="1" thickBot="1">
      <c r="A21" s="281" t="s">
        <v>604</v>
      </c>
      <c r="B21" s="240"/>
      <c r="C21" s="249" t="s">
        <v>605</v>
      </c>
      <c r="D21" s="274"/>
      <c r="E21" s="240"/>
      <c r="F21" s="239" t="s">
        <v>606</v>
      </c>
      <c r="G21" s="240"/>
      <c r="H21" s="240" t="s">
        <v>584</v>
      </c>
      <c r="I21" s="240"/>
      <c r="J21" s="241"/>
      <c r="S21" s="282"/>
      <c r="T21" s="283" t="s">
        <v>607</v>
      </c>
    </row>
    <row r="22" spans="1:24" ht="9.9" customHeight="1">
      <c r="A22" s="273"/>
      <c r="B22" s="240"/>
      <c r="C22" s="240"/>
      <c r="D22" s="240"/>
      <c r="E22" s="240"/>
      <c r="F22" s="284" t="s">
        <v>608</v>
      </c>
      <c r="G22" s="240"/>
      <c r="H22" s="249" t="s">
        <v>609</v>
      </c>
      <c r="I22" s="240"/>
      <c r="J22" s="241"/>
      <c r="N22" s="234" t="s">
        <v>610</v>
      </c>
      <c r="O22" s="267"/>
      <c r="P22" s="267"/>
      <c r="Q22" s="267"/>
      <c r="R22" s="267"/>
      <c r="S22" s="285"/>
      <c r="T22" s="285"/>
      <c r="U22" s="217"/>
      <c r="V22" s="301"/>
      <c r="W22" s="217" t="s">
        <v>611</v>
      </c>
    </row>
    <row r="23" spans="1:24" ht="9.9" customHeight="1" thickBot="1">
      <c r="A23" s="255" t="s">
        <v>612</v>
      </c>
      <c r="B23" s="240"/>
      <c r="C23" s="240" t="s">
        <v>601</v>
      </c>
      <c r="D23" s="274"/>
      <c r="E23" s="274"/>
      <c r="F23" s="239"/>
      <c r="G23" s="240"/>
      <c r="H23" s="274"/>
      <c r="I23" s="274"/>
      <c r="J23" s="286"/>
      <c r="N23" s="237"/>
      <c r="O23" s="237" t="s">
        <v>613</v>
      </c>
      <c r="P23" s="844"/>
      <c r="Q23" s="267"/>
      <c r="R23" s="267"/>
      <c r="S23" s="285"/>
      <c r="T23" s="285"/>
      <c r="U23" s="243" t="s">
        <v>854</v>
      </c>
      <c r="V23" s="342">
        <f>V22*0.15</f>
        <v>0</v>
      </c>
      <c r="W23" s="217"/>
    </row>
    <row r="24" spans="1:24" ht="9.9" customHeight="1" thickBot="1">
      <c r="A24" s="273"/>
      <c r="B24" s="240"/>
      <c r="C24" s="240"/>
      <c r="D24" s="274"/>
      <c r="E24" s="274"/>
      <c r="F24" s="257" t="s">
        <v>614</v>
      </c>
      <c r="G24" s="240"/>
      <c r="H24" s="274" t="s">
        <v>615</v>
      </c>
      <c r="I24" s="274"/>
      <c r="J24" s="286"/>
      <c r="N24" s="217"/>
      <c r="O24" s="223"/>
      <c r="P24" s="223"/>
      <c r="Q24" s="223"/>
      <c r="R24" s="223"/>
      <c r="S24" s="287"/>
      <c r="T24" s="287"/>
      <c r="U24" s="252" t="s">
        <v>566</v>
      </c>
      <c r="V24" s="351">
        <f>V22+V23</f>
        <v>0</v>
      </c>
      <c r="W24" s="254"/>
    </row>
    <row r="25" spans="1:24" ht="9.9" customHeight="1" thickBot="1">
      <c r="A25" s="288" t="s">
        <v>616</v>
      </c>
      <c r="B25" s="289"/>
      <c r="C25" s="289" t="s">
        <v>601</v>
      </c>
      <c r="D25" s="290"/>
      <c r="E25" s="290"/>
      <c r="F25" s="291"/>
      <c r="G25" s="289"/>
      <c r="H25" s="290"/>
      <c r="I25" s="274"/>
      <c r="J25" s="292"/>
      <c r="S25" s="293"/>
      <c r="T25" s="293"/>
      <c r="V25" s="618"/>
    </row>
    <row r="26" spans="1:24" ht="12" customHeight="1" thickTop="1" thickBot="1">
      <c r="A26" s="294" t="str">
        <f>IF(I26="incl","ok",IF(I26="excl","ok","PLEASE INDICATE VAT   incl   OR   excl   IN THE AREA PROVIDED THEREFOR &gt; &gt; &gt; &gt; &gt; &gt;"))</f>
        <v>ok</v>
      </c>
      <c r="B26" s="295"/>
      <c r="C26" s="295"/>
      <c r="D26" s="295"/>
      <c r="E26" s="295"/>
      <c r="F26" s="295"/>
      <c r="G26" s="296"/>
      <c r="H26" s="297" t="s">
        <v>617</v>
      </c>
      <c r="I26" s="298" t="s">
        <v>618</v>
      </c>
      <c r="J26" s="299"/>
      <c r="N26" s="234" t="s">
        <v>619</v>
      </c>
      <c r="O26" s="300"/>
      <c r="P26" s="267"/>
      <c r="Q26" s="267"/>
      <c r="R26" s="267"/>
      <c r="S26" s="285"/>
      <c r="T26" s="285"/>
      <c r="U26" s="217"/>
      <c r="V26" s="301"/>
      <c r="W26" s="302"/>
    </row>
    <row r="27" spans="1:24" s="231" customFormat="1" ht="12.75" customHeight="1" thickTop="1" thickBot="1">
      <c r="A27" s="303" t="s">
        <v>620</v>
      </c>
      <c r="B27" s="304" t="s">
        <v>575</v>
      </c>
      <c r="C27" s="225"/>
      <c r="D27" s="305"/>
      <c r="E27" s="306"/>
      <c r="F27" s="307" t="s">
        <v>621</v>
      </c>
      <c r="G27" s="308"/>
      <c r="H27" s="309" t="s">
        <v>153</v>
      </c>
      <c r="I27" s="310">
        <v>61308477.18</v>
      </c>
      <c r="J27" s="311" t="s">
        <v>622</v>
      </c>
      <c r="N27" s="237"/>
      <c r="O27" s="237" t="s">
        <v>613</v>
      </c>
      <c r="P27" s="844"/>
      <c r="Q27" s="267"/>
      <c r="R27" s="267"/>
      <c r="S27" s="285"/>
      <c r="T27" s="285"/>
      <c r="U27" s="243" t="s">
        <v>854</v>
      </c>
      <c r="V27" s="342">
        <v>0</v>
      </c>
      <c r="W27" s="217"/>
      <c r="X27" s="313"/>
    </row>
    <row r="28" spans="1:24" s="231" customFormat="1" ht="12.75" customHeight="1" thickBot="1">
      <c r="A28" s="314" t="s">
        <v>138</v>
      </c>
      <c r="B28" s="843" t="s">
        <v>821</v>
      </c>
      <c r="C28" s="315"/>
      <c r="D28" s="315"/>
      <c r="E28" s="316"/>
      <c r="F28" s="317" t="s">
        <v>623</v>
      </c>
      <c r="G28" s="318"/>
      <c r="H28" s="319" t="s">
        <v>153</v>
      </c>
      <c r="I28" s="320"/>
      <c r="J28" s="321" t="s">
        <v>622</v>
      </c>
      <c r="N28" s="217"/>
      <c r="O28" s="223"/>
      <c r="P28" s="223"/>
      <c r="Q28" s="223"/>
      <c r="R28" s="223"/>
      <c r="S28" s="287"/>
      <c r="T28" s="287"/>
      <c r="U28" s="252" t="s">
        <v>566</v>
      </c>
      <c r="V28" s="351">
        <f>V26+V27</f>
        <v>0</v>
      </c>
      <c r="W28" s="254"/>
    </row>
    <row r="29" spans="1:24" s="231" customFormat="1" ht="13.8" thickBot="1">
      <c r="A29" s="322"/>
      <c r="B29" s="323"/>
      <c r="C29" s="323"/>
      <c r="D29" s="323"/>
      <c r="E29" s="324"/>
      <c r="F29" s="325"/>
      <c r="G29" s="326"/>
      <c r="H29" s="327"/>
      <c r="I29" s="328"/>
      <c r="J29" s="329" t="s">
        <v>622</v>
      </c>
      <c r="S29" s="330"/>
      <c r="T29" s="330"/>
    </row>
    <row r="30" spans="1:24" s="231" customFormat="1" ht="13.8">
      <c r="A30" s="331" t="s">
        <v>624</v>
      </c>
      <c r="B30" s="332" t="s">
        <v>625</v>
      </c>
      <c r="C30" s="840" t="s">
        <v>822</v>
      </c>
      <c r="D30" s="315"/>
      <c r="E30" s="316"/>
      <c r="F30" s="333"/>
      <c r="G30" s="334" t="s">
        <v>626</v>
      </c>
      <c r="H30" s="319" t="s">
        <v>153</v>
      </c>
      <c r="I30" s="335">
        <f>SUM(I27:I29)</f>
        <v>61308477.18</v>
      </c>
      <c r="J30" s="336"/>
      <c r="N30" s="234" t="s">
        <v>627</v>
      </c>
      <c r="O30" s="300"/>
      <c r="P30" s="267"/>
      <c r="Q30" s="267"/>
      <c r="R30" s="267"/>
      <c r="S30" s="285"/>
      <c r="T30" s="285"/>
      <c r="U30" s="217"/>
      <c r="V30" s="301">
        <v>0</v>
      </c>
      <c r="W30" s="217" t="s">
        <v>628</v>
      </c>
    </row>
    <row r="31" spans="1:24" s="231" customFormat="1" ht="14.4" thickBot="1">
      <c r="A31" s="314"/>
      <c r="B31" s="315"/>
      <c r="C31" s="841" t="s">
        <v>823</v>
      </c>
      <c r="D31" s="315"/>
      <c r="E31" s="316"/>
      <c r="F31" s="338"/>
      <c r="G31" s="339" t="s">
        <v>629</v>
      </c>
      <c r="H31" s="340" t="s">
        <v>153</v>
      </c>
      <c r="I31" s="341">
        <f>I30*0.14-0.004</f>
        <v>8583186.8012000006</v>
      </c>
      <c r="J31" s="336"/>
      <c r="N31" s="237"/>
      <c r="O31" s="237" t="s">
        <v>613</v>
      </c>
      <c r="P31" s="844"/>
      <c r="Q31" s="267"/>
      <c r="R31" s="267"/>
      <c r="S31" s="285"/>
      <c r="T31" s="285"/>
      <c r="U31" s="243" t="s">
        <v>854</v>
      </c>
      <c r="V31" s="342">
        <f>V30*0.15</f>
        <v>0</v>
      </c>
      <c r="W31" s="217"/>
    </row>
    <row r="32" spans="1:24" s="231" customFormat="1" ht="14.4" thickBot="1">
      <c r="A32" s="322"/>
      <c r="B32" s="343"/>
      <c r="C32" s="842" t="s">
        <v>824</v>
      </c>
      <c r="D32" s="344"/>
      <c r="E32" s="345"/>
      <c r="F32" s="346" t="s">
        <v>630</v>
      </c>
      <c r="G32" s="347"/>
      <c r="H32" s="348" t="s">
        <v>153</v>
      </c>
      <c r="I32" s="349">
        <f>I30+I31</f>
        <v>69891663.981199995</v>
      </c>
      <c r="J32" s="350"/>
      <c r="N32" s="217"/>
      <c r="O32" s="223"/>
      <c r="P32" s="223"/>
      <c r="Q32" s="223"/>
      <c r="R32" s="223"/>
      <c r="S32" s="287"/>
      <c r="T32" s="287"/>
      <c r="U32" s="252" t="s">
        <v>566</v>
      </c>
      <c r="V32" s="351">
        <f>V30+V31</f>
        <v>0</v>
      </c>
      <c r="W32" s="254"/>
    </row>
    <row r="33" spans="1:23" s="231" customFormat="1" ht="13.5" customHeight="1" thickBot="1">
      <c r="A33" s="352"/>
      <c r="B33" s="353"/>
      <c r="C33" s="354"/>
      <c r="D33" s="355"/>
      <c r="E33" s="356"/>
      <c r="F33" s="356"/>
      <c r="G33" s="357" t="s">
        <v>631</v>
      </c>
      <c r="H33" s="358" t="s">
        <v>825</v>
      </c>
      <c r="I33" s="359" t="s">
        <v>632</v>
      </c>
      <c r="J33" s="360" t="s">
        <v>826</v>
      </c>
      <c r="S33" s="330"/>
      <c r="T33" s="330"/>
    </row>
    <row r="34" spans="1:23" s="231" customFormat="1" ht="13.5" customHeight="1" thickTop="1">
      <c r="A34" s="361" t="s">
        <v>633</v>
      </c>
      <c r="B34" s="362"/>
      <c r="C34" s="363"/>
      <c r="D34" s="364"/>
      <c r="E34" s="365"/>
      <c r="F34" s="366"/>
      <c r="G34" s="366"/>
      <c r="H34" s="367"/>
      <c r="I34" s="366"/>
      <c r="J34" s="368"/>
      <c r="N34" s="234" t="s">
        <v>634</v>
      </c>
      <c r="O34" s="300"/>
      <c r="P34" s="267"/>
      <c r="Q34" s="267"/>
      <c r="R34" s="267"/>
      <c r="S34" s="285"/>
      <c r="T34" s="285"/>
      <c r="U34" s="217"/>
      <c r="V34" s="301"/>
      <c r="W34" s="217" t="s">
        <v>635</v>
      </c>
    </row>
    <row r="35" spans="1:23" s="231" customFormat="1" ht="23.4" thickBot="1">
      <c r="A35" s="369" t="s">
        <v>636</v>
      </c>
      <c r="B35" s="370" t="s">
        <v>637</v>
      </c>
      <c r="C35" s="371" t="s">
        <v>638</v>
      </c>
      <c r="D35" s="372" t="s">
        <v>636</v>
      </c>
      <c r="E35" s="370" t="s">
        <v>637</v>
      </c>
      <c r="F35" s="372" t="s">
        <v>638</v>
      </c>
      <c r="G35" s="373" t="s">
        <v>636</v>
      </c>
      <c r="H35" s="374" t="s">
        <v>637</v>
      </c>
      <c r="I35" s="375" t="s">
        <v>639</v>
      </c>
      <c r="J35" s="376"/>
      <c r="N35" s="237"/>
      <c r="O35" s="237" t="s">
        <v>613</v>
      </c>
      <c r="P35" s="312"/>
      <c r="Q35" s="267"/>
      <c r="R35" s="267"/>
      <c r="S35" s="285"/>
      <c r="T35" s="285"/>
      <c r="U35" s="243" t="s">
        <v>854</v>
      </c>
      <c r="V35" s="342">
        <v>0</v>
      </c>
      <c r="W35" s="217"/>
    </row>
    <row r="36" spans="1:23" s="231" customFormat="1" ht="9.9" customHeight="1" thickBot="1">
      <c r="A36" s="377">
        <v>1</v>
      </c>
      <c r="B36" s="887"/>
      <c r="C36" s="888"/>
      <c r="D36" s="380">
        <v>5</v>
      </c>
      <c r="E36" s="378"/>
      <c r="F36" s="379"/>
      <c r="G36" s="381">
        <v>9</v>
      </c>
      <c r="H36" s="382"/>
      <c r="I36" s="383"/>
      <c r="J36" s="384" t="s">
        <v>640</v>
      </c>
      <c r="N36" s="217"/>
      <c r="O36" s="223"/>
      <c r="P36" s="223"/>
      <c r="Q36" s="223"/>
      <c r="R36" s="223"/>
      <c r="S36" s="287"/>
      <c r="T36" s="287"/>
      <c r="U36" s="252" t="s">
        <v>566</v>
      </c>
      <c r="V36" s="261">
        <f>V34+V35</f>
        <v>0</v>
      </c>
      <c r="W36" s="254"/>
    </row>
    <row r="37" spans="1:23" s="231" customFormat="1" ht="9.9" customHeight="1">
      <c r="A37" s="377">
        <v>2</v>
      </c>
      <c r="B37" s="887"/>
      <c r="C37" s="888"/>
      <c r="D37" s="380">
        <v>6</v>
      </c>
      <c r="E37" s="378"/>
      <c r="F37" s="379"/>
      <c r="G37" s="381">
        <v>10</v>
      </c>
      <c r="H37" s="385"/>
      <c r="I37" s="386"/>
      <c r="J37" s="384" t="s">
        <v>641</v>
      </c>
      <c r="S37" s="330"/>
      <c r="T37" s="330"/>
    </row>
    <row r="38" spans="1:23" s="231" customFormat="1" ht="9.9" customHeight="1" thickBot="1">
      <c r="A38" s="377">
        <v>3</v>
      </c>
      <c r="B38" s="887"/>
      <c r="C38" s="888"/>
      <c r="D38" s="380">
        <v>7</v>
      </c>
      <c r="E38" s="378"/>
      <c r="F38" s="379"/>
      <c r="G38" s="381">
        <v>11</v>
      </c>
      <c r="H38" s="385"/>
      <c r="I38" s="386"/>
      <c r="J38" s="384" t="s">
        <v>642</v>
      </c>
      <c r="N38" s="234" t="s">
        <v>643</v>
      </c>
      <c r="O38" s="300"/>
      <c r="P38" s="267"/>
      <c r="Q38" s="267"/>
      <c r="R38" s="267"/>
      <c r="S38" s="285"/>
      <c r="T38" s="285"/>
      <c r="U38" s="217"/>
      <c r="V38" s="337"/>
      <c r="W38" s="217" t="s">
        <v>644</v>
      </c>
    </row>
    <row r="39" spans="1:23" s="231" customFormat="1" ht="9.9" customHeight="1" thickBot="1">
      <c r="A39" s="387">
        <v>4</v>
      </c>
      <c r="B39" s="889"/>
      <c r="C39" s="890"/>
      <c r="D39" s="389">
        <v>8</v>
      </c>
      <c r="E39" s="378"/>
      <c r="F39" s="388"/>
      <c r="G39" s="390">
        <v>12</v>
      </c>
      <c r="H39" s="391"/>
      <c r="I39" s="392"/>
      <c r="J39" s="393">
        <f>SUM(C36:C39)+SUM(F36:F39)+SUM(I36:I39)</f>
        <v>0</v>
      </c>
      <c r="K39" s="394"/>
      <c r="N39" s="237"/>
      <c r="O39" s="237" t="s">
        <v>613</v>
      </c>
      <c r="P39" s="312"/>
      <c r="Q39" s="267"/>
      <c r="R39" s="267"/>
      <c r="S39" s="285"/>
      <c r="T39" s="285"/>
      <c r="U39" s="243" t="s">
        <v>854</v>
      </c>
      <c r="V39" s="342">
        <f>V38*0.15</f>
        <v>0</v>
      </c>
      <c r="W39" s="217"/>
    </row>
    <row r="40" spans="1:23" s="231" customFormat="1" ht="8.1" customHeight="1" thickBot="1">
      <c r="A40" s="395"/>
      <c r="B40" s="396"/>
      <c r="C40" s="397"/>
      <c r="D40" s="397"/>
      <c r="E40" s="398"/>
      <c r="F40" s="399"/>
      <c r="G40" s="400"/>
      <c r="H40" s="401"/>
      <c r="I40" s="401"/>
      <c r="J40" s="402"/>
      <c r="N40" s="217"/>
      <c r="O40" s="223"/>
      <c r="P40" s="223"/>
      <c r="Q40" s="223"/>
      <c r="R40" s="223"/>
      <c r="S40" s="287"/>
      <c r="T40" s="287"/>
      <c r="U40" s="252" t="s">
        <v>566</v>
      </c>
      <c r="V40" s="351">
        <f>V38+V39</f>
        <v>0</v>
      </c>
      <c r="W40" s="254"/>
    </row>
    <row r="41" spans="1:23" s="231" customFormat="1" ht="28.5" customHeight="1" thickTop="1" thickBot="1">
      <c r="A41" s="403" t="s">
        <v>645</v>
      </c>
      <c r="B41" s="404"/>
      <c r="C41" s="405"/>
      <c r="D41" s="406">
        <v>1</v>
      </c>
      <c r="E41" s="407" t="s">
        <v>646</v>
      </c>
      <c r="F41" s="408" t="s">
        <v>148</v>
      </c>
      <c r="G41" s="409"/>
      <c r="H41" s="410"/>
      <c r="I41" s="411"/>
      <c r="J41" s="412"/>
      <c r="N41" s="217"/>
      <c r="O41" s="217"/>
      <c r="S41" s="330"/>
      <c r="T41" s="330"/>
    </row>
    <row r="42" spans="1:23" s="231" customFormat="1" ht="18.75" customHeight="1">
      <c r="A42" s="413" t="s">
        <v>647</v>
      </c>
      <c r="D42" s="414"/>
      <c r="E42" s="415" t="s">
        <v>648</v>
      </c>
      <c r="F42" s="416" t="s">
        <v>148</v>
      </c>
      <c r="G42" s="417"/>
      <c r="H42" s="418"/>
      <c r="I42" s="419" t="s">
        <v>649</v>
      </c>
      <c r="J42" s="420"/>
      <c r="N42" s="234" t="s">
        <v>650</v>
      </c>
      <c r="O42" s="300"/>
      <c r="P42" s="267"/>
      <c r="Q42" s="267"/>
      <c r="R42" s="267"/>
      <c r="S42" s="285"/>
      <c r="T42" s="285"/>
      <c r="U42" s="217"/>
      <c r="V42" s="337"/>
      <c r="W42" s="217" t="s">
        <v>651</v>
      </c>
    </row>
    <row r="43" spans="1:23" s="426" customFormat="1" ht="13.5" customHeight="1" thickBot="1">
      <c r="A43" s="361" t="s">
        <v>652</v>
      </c>
      <c r="B43" s="421"/>
      <c r="C43" s="421"/>
      <c r="D43" s="421"/>
      <c r="E43" s="421"/>
      <c r="F43" s="422" t="str">
        <f>A11</f>
        <v>23/05/2018</v>
      </c>
      <c r="G43" s="423"/>
      <c r="H43" s="340"/>
      <c r="I43" s="424" t="s">
        <v>153</v>
      </c>
      <c r="J43" s="425"/>
      <c r="K43" s="231"/>
      <c r="M43" s="204"/>
      <c r="N43" s="237"/>
      <c r="O43" s="237" t="s">
        <v>613</v>
      </c>
      <c r="P43" s="312"/>
      <c r="Q43" s="267"/>
      <c r="R43" s="267"/>
      <c r="S43" s="285"/>
      <c r="T43" s="285"/>
      <c r="U43" s="243" t="s">
        <v>854</v>
      </c>
      <c r="V43" s="342">
        <f>V42*0.15</f>
        <v>0</v>
      </c>
      <c r="W43" s="217"/>
    </row>
    <row r="44" spans="1:23" s="231" customFormat="1" ht="12.9" customHeight="1" thickBot="1">
      <c r="A44" s="427"/>
      <c r="B44" s="217" t="s">
        <v>653</v>
      </c>
      <c r="C44" s="217"/>
      <c r="D44" s="237"/>
      <c r="E44" s="217"/>
      <c r="F44" s="217"/>
      <c r="G44" s="217"/>
      <c r="H44" s="237" t="s">
        <v>654</v>
      </c>
      <c r="I44" s="428">
        <f>Summary!K27</f>
        <v>0</v>
      </c>
      <c r="J44" s="429"/>
      <c r="R44" s="223"/>
      <c r="S44" s="223"/>
      <c r="T44" s="223"/>
      <c r="U44" s="252" t="s">
        <v>566</v>
      </c>
      <c r="V44" s="351">
        <f>V42+V43</f>
        <v>0</v>
      </c>
      <c r="W44" s="254"/>
    </row>
    <row r="45" spans="1:23" s="231" customFormat="1" ht="12.9" customHeight="1">
      <c r="A45" s="427"/>
      <c r="B45" s="217" t="s">
        <v>655</v>
      </c>
      <c r="C45" s="217"/>
      <c r="D45" s="237"/>
      <c r="E45" s="217"/>
      <c r="F45" s="217"/>
      <c r="G45" s="217"/>
      <c r="H45" s="237" t="s">
        <v>654</v>
      </c>
      <c r="I45" s="428"/>
      <c r="J45" s="429"/>
      <c r="N45" s="430" t="s">
        <v>656</v>
      </c>
      <c r="O45" s="223"/>
      <c r="P45" s="223"/>
      <c r="Q45" s="223"/>
    </row>
    <row r="46" spans="1:23" s="231" customFormat="1" ht="12.9" customHeight="1" thickBot="1">
      <c r="A46" s="427"/>
      <c r="B46" s="217" t="s">
        <v>657</v>
      </c>
      <c r="C46" s="217"/>
      <c r="D46" s="237"/>
      <c r="E46" s="217"/>
      <c r="F46" s="217"/>
      <c r="G46" s="217"/>
      <c r="H46" s="237" t="s">
        <v>654</v>
      </c>
      <c r="I46" s="431"/>
      <c r="J46" s="432"/>
      <c r="O46" s="433" t="s">
        <v>658</v>
      </c>
      <c r="Q46" s="433" t="s">
        <v>659</v>
      </c>
      <c r="R46" s="433" t="s">
        <v>607</v>
      </c>
      <c r="T46" s="434" t="s">
        <v>660</v>
      </c>
      <c r="U46" s="252" t="s">
        <v>661</v>
      </c>
      <c r="V46" s="435">
        <f>V11</f>
        <v>0</v>
      </c>
      <c r="W46" s="217"/>
    </row>
    <row r="47" spans="1:23" s="231" customFormat="1" ht="12.9" customHeight="1" thickBot="1">
      <c r="A47" s="427"/>
      <c r="B47" s="217"/>
      <c r="C47" s="217"/>
      <c r="D47" s="217"/>
      <c r="E47" s="217"/>
      <c r="F47" s="436"/>
      <c r="G47" s="217"/>
      <c r="H47" s="436" t="s">
        <v>662</v>
      </c>
      <c r="I47" s="437">
        <f>SUM(I44:I46)</f>
        <v>0</v>
      </c>
      <c r="J47" s="438" t="str">
        <f>IF(I47&gt;I30,"over!!!","ok")</f>
        <v>ok</v>
      </c>
      <c r="N47" s="444"/>
      <c r="O47" s="439"/>
      <c r="P47" s="439"/>
      <c r="Q47" s="845"/>
      <c r="R47" s="440"/>
      <c r="S47" s="217"/>
      <c r="T47" s="434" t="s">
        <v>663</v>
      </c>
      <c r="U47" s="441" t="s">
        <v>856</v>
      </c>
      <c r="V47" s="435">
        <f>0.15*V46</f>
        <v>0</v>
      </c>
      <c r="W47" s="254"/>
    </row>
    <row r="48" spans="1:23" s="231" customFormat="1" ht="12.9" customHeight="1" thickBot="1">
      <c r="A48" s="427"/>
      <c r="B48" s="217" t="s">
        <v>664</v>
      </c>
      <c r="C48" s="217"/>
      <c r="D48" s="217"/>
      <c r="E48" s="217"/>
      <c r="F48" s="217"/>
      <c r="G48" s="217"/>
      <c r="H48" s="217"/>
      <c r="I48" s="442">
        <v>0</v>
      </c>
      <c r="J48" s="443">
        <f>I30-I47</f>
        <v>61308477.18</v>
      </c>
      <c r="N48" s="444"/>
      <c r="O48" s="445"/>
      <c r="P48" s="445"/>
      <c r="Q48" s="845"/>
      <c r="R48" s="446"/>
      <c r="S48" s="247"/>
      <c r="T48" s="217"/>
      <c r="U48" s="252" t="s">
        <v>566</v>
      </c>
      <c r="V48" s="447">
        <f>V46+V47</f>
        <v>0</v>
      </c>
    </row>
    <row r="49" spans="1:25" s="231" customFormat="1" ht="12.9" customHeight="1" thickBot="1">
      <c r="A49" s="427"/>
      <c r="B49" s="217" t="s">
        <v>665</v>
      </c>
      <c r="C49" s="217"/>
      <c r="D49" s="217"/>
      <c r="E49" s="217"/>
      <c r="F49" s="234"/>
      <c r="G49" s="217"/>
      <c r="H49" s="448">
        <f>D41-1</f>
        <v>0</v>
      </c>
      <c r="I49" s="449">
        <f>J39</f>
        <v>0</v>
      </c>
      <c r="J49" s="432"/>
      <c r="N49" s="444"/>
      <c r="O49" s="445"/>
      <c r="P49" s="445"/>
      <c r="Q49" s="845"/>
      <c r="R49" s="446"/>
      <c r="V49" s="450"/>
    </row>
    <row r="50" spans="1:25" s="231" customFormat="1" ht="12.9" customHeight="1">
      <c r="A50" s="451"/>
      <c r="B50" s="242"/>
      <c r="C50" s="217"/>
      <c r="D50" s="217"/>
      <c r="E50" s="242"/>
      <c r="F50" s="452"/>
      <c r="G50" s="217"/>
      <c r="H50" s="452" t="s">
        <v>662</v>
      </c>
      <c r="I50" s="453">
        <f>I47-I48-I49</f>
        <v>0</v>
      </c>
      <c r="J50" s="454"/>
      <c r="N50" s="444"/>
      <c r="O50" s="445"/>
      <c r="P50" s="445"/>
      <c r="Q50" s="891"/>
      <c r="R50" s="446"/>
      <c r="T50" s="247" t="s">
        <v>666</v>
      </c>
      <c r="U50" s="252" t="s">
        <v>667</v>
      </c>
      <c r="V50" s="455">
        <f>V15</f>
        <v>0</v>
      </c>
      <c r="W50" s="217" t="s">
        <v>668</v>
      </c>
      <c r="Y50" s="450"/>
    </row>
    <row r="51" spans="1:25" s="231" customFormat="1" ht="12.9" customHeight="1" thickBot="1">
      <c r="A51" s="456"/>
      <c r="B51" s="457"/>
      <c r="C51" s="458"/>
      <c r="D51" s="458"/>
      <c r="E51" s="459"/>
      <c r="F51" s="460"/>
      <c r="G51" s="458"/>
      <c r="H51" s="458"/>
      <c r="I51" s="461"/>
      <c r="J51" s="462"/>
      <c r="N51" s="444"/>
      <c r="O51" s="445"/>
      <c r="P51" s="445"/>
      <c r="Q51" s="446"/>
      <c r="R51" s="446"/>
      <c r="S51" s="247"/>
      <c r="T51" s="247" t="s">
        <v>669</v>
      </c>
      <c r="U51" s="441" t="s">
        <v>856</v>
      </c>
      <c r="V51" s="463">
        <f>0.15*V50</f>
        <v>0</v>
      </c>
      <c r="W51" s="254"/>
    </row>
    <row r="52" spans="1:25" s="231" customFormat="1" ht="12.9" customHeight="1" thickBot="1">
      <c r="A52" s="427"/>
      <c r="B52" s="217" t="s">
        <v>670</v>
      </c>
      <c r="C52" s="217"/>
      <c r="D52" s="217"/>
      <c r="E52" s="242"/>
      <c r="F52" s="237"/>
      <c r="G52" s="217"/>
      <c r="H52" s="237" t="s">
        <v>654</v>
      </c>
      <c r="I52" s="428">
        <v>0</v>
      </c>
      <c r="J52" s="429"/>
      <c r="N52" s="444"/>
      <c r="O52" s="445"/>
      <c r="P52" s="445"/>
      <c r="Q52" s="446"/>
      <c r="R52" s="446"/>
      <c r="S52" s="247"/>
      <c r="T52" s="217"/>
      <c r="U52" s="252" t="s">
        <v>566</v>
      </c>
      <c r="V52" s="447">
        <f>V50+V51</f>
        <v>0</v>
      </c>
      <c r="W52" s="254"/>
    </row>
    <row r="53" spans="1:25" s="231" customFormat="1" ht="12.9" customHeight="1" thickBot="1">
      <c r="A53" s="464"/>
      <c r="B53" s="217"/>
      <c r="C53" s="217"/>
      <c r="D53" s="217"/>
      <c r="E53" s="217"/>
      <c r="F53" s="237"/>
      <c r="G53" s="217"/>
      <c r="H53" s="465" t="s">
        <v>662</v>
      </c>
      <c r="I53" s="466">
        <f>I50+I51+I52</f>
        <v>0</v>
      </c>
      <c r="J53" s="467" t="s">
        <v>671</v>
      </c>
      <c r="N53" s="444"/>
      <c r="O53" s="445"/>
      <c r="P53" s="445"/>
      <c r="Q53" s="446"/>
      <c r="R53" s="446"/>
      <c r="V53" s="450"/>
      <c r="W53" s="217"/>
    </row>
    <row r="54" spans="1:25" s="231" customFormat="1" ht="12.9" customHeight="1" thickBot="1">
      <c r="A54" s="427"/>
      <c r="B54" s="217"/>
      <c r="C54" s="217"/>
      <c r="D54" s="217"/>
      <c r="E54" s="468"/>
      <c r="F54" s="237"/>
      <c r="G54" s="468"/>
      <c r="H54" s="237" t="s">
        <v>855</v>
      </c>
      <c r="I54" s="469">
        <f>I53*0.15</f>
        <v>0</v>
      </c>
      <c r="J54" s="470"/>
      <c r="N54" s="444"/>
      <c r="O54" s="471"/>
      <c r="P54" s="445"/>
      <c r="Q54" s="446"/>
      <c r="R54" s="446"/>
      <c r="T54" s="247"/>
      <c r="U54" s="213" t="s">
        <v>672</v>
      </c>
      <c r="V54" s="455">
        <f>V22+V26+V30+V34+V38+V42</f>
        <v>0</v>
      </c>
      <c r="W54" s="302"/>
    </row>
    <row r="55" spans="1:25" s="231" customFormat="1" ht="12.9" customHeight="1" thickBot="1">
      <c r="A55" s="472"/>
      <c r="B55" s="473"/>
      <c r="C55" s="473"/>
      <c r="D55" s="473"/>
      <c r="E55" s="474"/>
      <c r="F55" s="468" t="s">
        <v>673</v>
      </c>
      <c r="G55" s="468"/>
      <c r="H55" s="234"/>
      <c r="I55" s="475">
        <f>I53+I54</f>
        <v>0</v>
      </c>
      <c r="J55" s="476" t="str">
        <f>IF(J54="ok","ok",IF(J54&lt;0.01,"ok","check !!"))</f>
        <v>ok</v>
      </c>
      <c r="N55" s="444"/>
      <c r="O55" s="471"/>
      <c r="P55" s="445"/>
      <c r="Q55" s="446"/>
      <c r="R55" s="446"/>
      <c r="S55" s="247"/>
      <c r="T55" s="247" t="s">
        <v>666</v>
      </c>
      <c r="U55" s="441" t="s">
        <v>856</v>
      </c>
      <c r="V55" s="463">
        <f>V54*0.15</f>
        <v>0</v>
      </c>
      <c r="W55" s="204"/>
    </row>
    <row r="56" spans="1:25" s="231" customFormat="1" ht="12" customHeight="1" thickBot="1">
      <c r="A56" s="477" t="s">
        <v>674</v>
      </c>
      <c r="B56" s="478"/>
      <c r="C56" s="2077"/>
      <c r="D56" s="2078"/>
      <c r="E56" s="2078"/>
      <c r="F56" s="2078"/>
      <c r="G56" s="2078"/>
      <c r="H56" s="2078"/>
      <c r="I56" s="2078"/>
      <c r="J56" s="2079"/>
      <c r="N56" s="444"/>
      <c r="O56" s="471"/>
      <c r="P56" s="445"/>
      <c r="Q56" s="446"/>
      <c r="R56" s="446"/>
      <c r="S56" s="247"/>
      <c r="T56" s="247" t="s">
        <v>675</v>
      </c>
      <c r="U56" s="252" t="s">
        <v>566</v>
      </c>
      <c r="V56" s="447">
        <f>V54+V55</f>
        <v>0</v>
      </c>
      <c r="W56" s="204"/>
    </row>
    <row r="57" spans="1:25" s="231" customFormat="1" ht="12" customHeight="1" thickBot="1">
      <c r="A57" s="479"/>
      <c r="B57" s="480"/>
      <c r="C57" s="2080"/>
      <c r="D57" s="2081"/>
      <c r="E57" s="2081"/>
      <c r="F57" s="2081"/>
      <c r="G57" s="2081"/>
      <c r="H57" s="2081"/>
      <c r="I57" s="2081"/>
      <c r="J57" s="2082"/>
      <c r="N57" s="204"/>
      <c r="O57" s="204"/>
      <c r="P57" s="217"/>
      <c r="Q57" s="217"/>
      <c r="R57" s="217"/>
      <c r="W57" s="204"/>
    </row>
    <row r="58" spans="1:25" s="231" customFormat="1" ht="14.25" customHeight="1" thickTop="1" thickBot="1">
      <c r="A58" s="481"/>
      <c r="B58" s="481"/>
      <c r="C58" s="481"/>
      <c r="D58" s="481"/>
      <c r="E58" s="481"/>
      <c r="F58" s="481"/>
      <c r="G58" s="482"/>
      <c r="H58" s="414"/>
      <c r="I58" s="483"/>
      <c r="J58" s="483"/>
      <c r="N58" s="204"/>
      <c r="O58" s="204"/>
      <c r="P58" s="223"/>
      <c r="Q58" s="223"/>
      <c r="R58" s="223"/>
      <c r="S58" s="223"/>
      <c r="T58" s="223"/>
      <c r="U58" s="223"/>
      <c r="V58" s="223"/>
      <c r="W58" s="204"/>
    </row>
    <row r="59" spans="1:25" s="231" customFormat="1" ht="15.75" customHeight="1" thickBot="1">
      <c r="A59" s="484" t="s">
        <v>676</v>
      </c>
      <c r="B59" s="485" t="str">
        <f>IF(I27*A68&lt;=300000,1,IF(I27*A68&lt;=750000,2,IF(I27*A68&lt;=1500000,3,IF(I27*A68&lt;=2000000,4,IF(I27*A68&gt;2000000,"4A",0)))))</f>
        <v>4A</v>
      </c>
      <c r="C59" s="486" t="s">
        <v>677</v>
      </c>
      <c r="D59" s="487"/>
      <c r="E59" s="488"/>
      <c r="F59" s="489"/>
      <c r="G59" s="490" t="s">
        <v>678</v>
      </c>
      <c r="H59" s="491"/>
      <c r="I59" s="492">
        <f>I60+I61</f>
        <v>0</v>
      </c>
      <c r="J59" s="493" t="s">
        <v>679</v>
      </c>
      <c r="N59" s="204"/>
      <c r="O59" s="204"/>
      <c r="S59" s="247" t="s">
        <v>680</v>
      </c>
      <c r="T59" s="217"/>
      <c r="U59" s="217"/>
      <c r="V59" s="494">
        <f>V48+V52+V56</f>
        <v>0</v>
      </c>
      <c r="W59" s="204"/>
    </row>
    <row r="60" spans="1:25" s="231" customFormat="1" ht="14.25" customHeight="1" thickTop="1" thickBot="1">
      <c r="A60" s="495" t="s">
        <v>681</v>
      </c>
      <c r="B60" s="496">
        <v>10</v>
      </c>
      <c r="C60" s="497" t="s">
        <v>682</v>
      </c>
      <c r="D60" s="498" t="s">
        <v>683</v>
      </c>
      <c r="E60" s="497" t="s">
        <v>682</v>
      </c>
      <c r="F60" s="498" t="s">
        <v>683</v>
      </c>
      <c r="G60" s="499" t="s">
        <v>684</v>
      </c>
      <c r="H60" s="500"/>
      <c r="I60" s="501">
        <f>F67</f>
        <v>0</v>
      </c>
      <c r="J60" s="502" t="s">
        <v>685</v>
      </c>
      <c r="N60" s="204"/>
      <c r="O60" s="204"/>
      <c r="P60" s="892"/>
      <c r="W60" s="204"/>
    </row>
    <row r="61" spans="1:25" s="231" customFormat="1" ht="15.75" customHeight="1" thickTop="1" thickBot="1">
      <c r="A61" s="495" t="s">
        <v>686</v>
      </c>
      <c r="B61" s="503" t="s">
        <v>687</v>
      </c>
      <c r="C61" s="504">
        <v>1</v>
      </c>
      <c r="D61" s="505"/>
      <c r="E61" s="504">
        <v>7</v>
      </c>
      <c r="F61" s="505"/>
      <c r="G61" s="506" t="s">
        <v>688</v>
      </c>
      <c r="H61" s="500"/>
      <c r="I61" s="501">
        <f>V50</f>
        <v>0</v>
      </c>
      <c r="J61" s="507">
        <f>I59-J65</f>
        <v>0</v>
      </c>
      <c r="N61" s="204"/>
      <c r="O61" s="897"/>
      <c r="P61" s="892"/>
      <c r="W61" s="204"/>
    </row>
    <row r="62" spans="1:25" s="231" customFormat="1" ht="14.25" customHeight="1" thickTop="1" thickBot="1">
      <c r="A62" s="508" t="s">
        <v>689</v>
      </c>
      <c r="B62" s="509" t="s">
        <v>687</v>
      </c>
      <c r="C62" s="504">
        <v>2</v>
      </c>
      <c r="D62" s="505"/>
      <c r="E62" s="504">
        <v>8</v>
      </c>
      <c r="F62" s="505"/>
      <c r="G62" s="436" t="s">
        <v>690</v>
      </c>
      <c r="H62" s="510"/>
      <c r="I62" s="511">
        <v>0</v>
      </c>
      <c r="J62" s="502" t="s">
        <v>691</v>
      </c>
      <c r="N62" s="204"/>
      <c r="O62" s="204"/>
      <c r="P62" s="892"/>
      <c r="Q62" s="884"/>
      <c r="W62" s="204"/>
    </row>
    <row r="63" spans="1:25" s="231" customFormat="1" ht="12.75" customHeight="1" thickTop="1">
      <c r="A63" s="495" t="s">
        <v>692</v>
      </c>
      <c r="B63" s="496">
        <f>IF(B59&lt;3,5,IF(B59&gt;2,10,0))</f>
        <v>10</v>
      </c>
      <c r="C63" s="504">
        <v>3</v>
      </c>
      <c r="D63" s="505"/>
      <c r="E63" s="504">
        <v>9</v>
      </c>
      <c r="F63" s="505"/>
      <c r="G63" s="506" t="s">
        <v>693</v>
      </c>
      <c r="H63" s="500"/>
      <c r="I63" s="512">
        <v>0</v>
      </c>
      <c r="J63" s="502" t="s">
        <v>694</v>
      </c>
      <c r="N63" s="204"/>
      <c r="O63" s="204"/>
      <c r="P63" s="892"/>
      <c r="W63" s="204"/>
    </row>
    <row r="64" spans="1:25" s="231" customFormat="1" ht="12.75" customHeight="1" thickBot="1">
      <c r="A64" s="513" t="s">
        <v>695</v>
      </c>
      <c r="B64" s="514" t="s">
        <v>687</v>
      </c>
      <c r="C64" s="504">
        <v>4</v>
      </c>
      <c r="D64" s="505"/>
      <c r="E64" s="504">
        <v>10</v>
      </c>
      <c r="F64" s="505"/>
      <c r="G64" s="506" t="s">
        <v>696</v>
      </c>
      <c r="H64" s="500"/>
      <c r="I64" s="515">
        <v>0</v>
      </c>
      <c r="J64" s="502" t="s">
        <v>685</v>
      </c>
      <c r="N64" s="204"/>
      <c r="O64" s="204"/>
      <c r="P64" s="516"/>
      <c r="Q64" s="516"/>
      <c r="R64" s="223"/>
      <c r="S64" s="223"/>
      <c r="T64" s="223"/>
      <c r="U64" s="516"/>
      <c r="V64" s="516"/>
      <c r="W64" s="204"/>
    </row>
    <row r="65" spans="1:23" s="231" customFormat="1" ht="12.75" customHeight="1" thickTop="1" thickBot="1">
      <c r="A65" s="517" t="s">
        <v>697</v>
      </c>
      <c r="B65" s="518" t="s">
        <v>687</v>
      </c>
      <c r="C65" s="504">
        <v>5</v>
      </c>
      <c r="D65" s="505"/>
      <c r="E65" s="504">
        <v>11</v>
      </c>
      <c r="F65" s="505"/>
      <c r="G65" s="519">
        <f>IF(F42="yes",0,IF(H65="s",0,IF(H65="o",0,1)))</f>
        <v>0</v>
      </c>
      <c r="H65" s="520" t="str">
        <f>RIGHT(F41)</f>
        <v>o</v>
      </c>
      <c r="I65" s="521" t="str">
        <f>IF(Q94=0," ",IF(H65=Q94," ","check !!"))</f>
        <v xml:space="preserve"> </v>
      </c>
      <c r="J65" s="507">
        <v>0</v>
      </c>
      <c r="N65" s="204"/>
      <c r="O65" s="204"/>
      <c r="P65" s="2062" t="s">
        <v>698</v>
      </c>
      <c r="Q65" s="2062"/>
      <c r="R65" s="223"/>
      <c r="S65" s="223"/>
      <c r="T65" s="223"/>
      <c r="U65" s="2062" t="s">
        <v>699</v>
      </c>
      <c r="V65" s="2062"/>
      <c r="W65" s="204"/>
    </row>
    <row r="66" spans="1:23" s="231" customFormat="1" ht="15" customHeight="1" thickTop="1" thickBot="1">
      <c r="A66" s="522" t="s">
        <v>700</v>
      </c>
      <c r="B66" s="523" t="s">
        <v>55</v>
      </c>
      <c r="C66" s="524">
        <v>6</v>
      </c>
      <c r="D66" s="525"/>
      <c r="E66" s="526">
        <v>12</v>
      </c>
      <c r="F66" s="525"/>
      <c r="G66" s="527" t="s">
        <v>701</v>
      </c>
      <c r="H66" s="528"/>
      <c r="I66" s="529"/>
      <c r="J66" s="530">
        <f>V13</f>
        <v>0</v>
      </c>
      <c r="N66" s="204"/>
      <c r="O66" s="204"/>
      <c r="P66" s="223"/>
      <c r="Q66" s="223"/>
      <c r="R66" s="223"/>
      <c r="S66" s="223"/>
      <c r="T66" s="223"/>
      <c r="U66" s="223"/>
      <c r="V66" s="223"/>
      <c r="W66" s="204"/>
    </row>
    <row r="67" spans="1:23" s="231" customFormat="1" ht="15" customHeight="1" thickBot="1">
      <c r="A67" s="531" t="s">
        <v>702</v>
      </c>
      <c r="B67" s="532">
        <v>10</v>
      </c>
      <c r="C67" s="533" t="str">
        <f>IF(B59="4A","surity bond"," ")</f>
        <v>surity bond</v>
      </c>
      <c r="D67" s="534" t="s">
        <v>703</v>
      </c>
      <c r="E67" s="535"/>
      <c r="F67" s="536">
        <f>SUM(D61:D66)+SUM(F61:F66)</f>
        <v>0</v>
      </c>
      <c r="G67" s="537" t="s">
        <v>704</v>
      </c>
      <c r="H67" s="538"/>
      <c r="I67" s="539"/>
      <c r="J67" s="540">
        <f>V17</f>
        <v>0</v>
      </c>
      <c r="N67" s="204"/>
      <c r="O67" s="204"/>
      <c r="P67" s="223"/>
      <c r="Q67" s="223"/>
      <c r="R67" s="223"/>
      <c r="S67" s="223"/>
      <c r="T67" s="223"/>
      <c r="U67" s="223"/>
      <c r="V67" s="223"/>
      <c r="W67" s="204"/>
    </row>
    <row r="68" spans="1:23" s="231" customFormat="1" ht="15" customHeight="1" thickTop="1" thickBot="1">
      <c r="A68" s="541">
        <f>IF(I26="incl",1.14,IF(I26="excl",1,"$$$"))</f>
        <v>1.1399999999999999</v>
      </c>
      <c r="B68" s="542">
        <v>0</v>
      </c>
      <c r="C68" s="543" t="str">
        <f>IF(B59="4A","only !!"," ")</f>
        <v>only !!</v>
      </c>
      <c r="D68" s="543" t="str">
        <f>IF(B59="4A","Bond no. ="," ")</f>
        <v>Bond no. =</v>
      </c>
      <c r="E68" s="544" t="s">
        <v>705</v>
      </c>
      <c r="F68" s="545"/>
      <c r="G68" s="537" t="s">
        <v>706</v>
      </c>
      <c r="H68" s="546"/>
      <c r="I68" s="547"/>
      <c r="J68" s="540">
        <f>V56</f>
        <v>0</v>
      </c>
      <c r="N68" s="204"/>
      <c r="O68" s="204"/>
      <c r="P68" s="896" t="str">
        <f>A11</f>
        <v>23/05/2018</v>
      </c>
      <c r="Q68" s="223"/>
      <c r="R68" s="223"/>
      <c r="S68" s="223"/>
      <c r="T68" s="223"/>
      <c r="U68" s="548"/>
      <c r="V68" s="223"/>
      <c r="W68" s="204"/>
    </row>
    <row r="69" spans="1:23" s="231" customFormat="1" ht="15" customHeight="1" thickTop="1" thickBot="1">
      <c r="A69" s="204"/>
      <c r="B69" s="204"/>
      <c r="C69" s="204"/>
      <c r="D69" s="204"/>
      <c r="E69" s="204"/>
      <c r="F69" s="204"/>
      <c r="G69" s="549" t="s">
        <v>707</v>
      </c>
      <c r="H69" s="550"/>
      <c r="I69" s="550"/>
      <c r="J69" s="551">
        <f>SUM(J66:J68)</f>
        <v>0</v>
      </c>
      <c r="N69" s="204"/>
      <c r="O69" s="204"/>
      <c r="P69" s="441" t="s">
        <v>708</v>
      </c>
      <c r="Q69" s="217"/>
      <c r="R69" s="217"/>
      <c r="S69" s="217"/>
      <c r="T69" s="217"/>
      <c r="U69" s="441" t="s">
        <v>708</v>
      </c>
      <c r="V69" s="217"/>
      <c r="W69" s="204"/>
    </row>
    <row r="70" spans="1:23" s="231" customFormat="1" ht="15" customHeight="1">
      <c r="A70" s="204"/>
      <c r="B70" s="204"/>
      <c r="C70" s="204"/>
      <c r="D70" s="204"/>
      <c r="E70" s="204"/>
      <c r="F70" s="204"/>
      <c r="G70" s="552"/>
      <c r="H70" s="217"/>
      <c r="I70" s="217"/>
      <c r="J70" s="553"/>
      <c r="N70" s="204"/>
      <c r="O70" s="204"/>
      <c r="P70" s="441"/>
      <c r="Q70" s="217"/>
      <c r="R70" s="217"/>
      <c r="S70" s="217"/>
      <c r="T70" s="217"/>
      <c r="U70" s="441"/>
      <c r="V70" s="217"/>
      <c r="W70" s="204"/>
    </row>
    <row r="71" spans="1:23" s="231" customFormat="1" ht="15" customHeight="1">
      <c r="A71" s="204"/>
      <c r="B71" s="204"/>
      <c r="C71" s="204"/>
      <c r="D71" s="204"/>
      <c r="E71" s="204"/>
      <c r="F71" s="204"/>
      <c r="G71" s="552"/>
      <c r="H71" s="217"/>
      <c r="I71" s="217"/>
      <c r="J71" s="553"/>
      <c r="N71" s="204"/>
      <c r="O71" s="204"/>
      <c r="P71" s="441"/>
      <c r="Q71" s="217"/>
      <c r="R71" s="217"/>
      <c r="S71" s="217"/>
      <c r="T71" s="217"/>
      <c r="U71" s="441"/>
      <c r="V71" s="217"/>
      <c r="W71" s="204"/>
    </row>
    <row r="72" spans="1:23" s="231" customFormat="1" ht="15" customHeight="1">
      <c r="A72" s="204"/>
      <c r="B72" s="204"/>
      <c r="C72" s="204"/>
      <c r="D72" s="204"/>
      <c r="E72" s="204"/>
      <c r="F72" s="204"/>
      <c r="G72" s="552"/>
      <c r="H72" s="217"/>
      <c r="I72" s="217"/>
      <c r="J72" s="553"/>
      <c r="N72" s="204"/>
      <c r="O72" s="204"/>
      <c r="P72" s="441"/>
      <c r="Q72" s="217"/>
      <c r="R72" s="217"/>
      <c r="S72" s="217"/>
      <c r="T72" s="217"/>
      <c r="U72" s="441"/>
      <c r="V72" s="217"/>
      <c r="W72" s="204"/>
    </row>
    <row r="73" spans="1:23" s="231" customFormat="1" ht="15" customHeight="1">
      <c r="A73" s="204"/>
      <c r="B73" s="204"/>
      <c r="C73" s="204"/>
      <c r="D73" s="204"/>
      <c r="E73" s="204"/>
      <c r="F73" s="204"/>
      <c r="G73" s="552"/>
      <c r="H73" s="217"/>
      <c r="I73" s="217"/>
      <c r="J73" s="553"/>
      <c r="N73" s="204"/>
      <c r="O73" s="204"/>
      <c r="P73" s="441"/>
      <c r="Q73" s="217"/>
      <c r="R73" s="217"/>
      <c r="S73" s="217"/>
      <c r="T73" s="217"/>
      <c r="U73" s="441"/>
      <c r="V73" s="217"/>
      <c r="W73" s="204"/>
    </row>
    <row r="74" spans="1:23" s="231" customFormat="1" ht="15" customHeight="1">
      <c r="A74" s="204"/>
      <c r="B74" s="204"/>
      <c r="C74" s="204"/>
      <c r="D74" s="204"/>
      <c r="E74" s="204"/>
      <c r="F74" s="204"/>
      <c r="G74" s="552"/>
      <c r="H74" s="217"/>
      <c r="I74" s="217"/>
      <c r="J74" s="553"/>
      <c r="N74" s="204"/>
      <c r="O74" s="204"/>
      <c r="P74" s="441"/>
      <c r="Q74" s="217"/>
      <c r="R74" s="217"/>
      <c r="S74" s="217"/>
      <c r="T74" s="217"/>
      <c r="U74" s="441"/>
      <c r="V74" s="217"/>
      <c r="W74" s="204"/>
    </row>
    <row r="75" spans="1:23" s="231" customFormat="1" ht="15" customHeight="1">
      <c r="A75" s="204"/>
      <c r="B75" s="204"/>
      <c r="C75" s="204"/>
      <c r="D75" s="204"/>
      <c r="E75" s="204"/>
      <c r="F75" s="204"/>
      <c r="G75" s="552"/>
      <c r="H75" s="217"/>
      <c r="I75" s="217"/>
      <c r="J75" s="553"/>
      <c r="N75" s="204"/>
      <c r="O75" s="204"/>
      <c r="P75" s="441"/>
      <c r="Q75" s="217"/>
      <c r="R75" s="217"/>
      <c r="S75" s="217"/>
      <c r="T75" s="217"/>
      <c r="U75" s="441"/>
      <c r="V75" s="217"/>
      <c r="W75" s="204"/>
    </row>
    <row r="76" spans="1:23" s="231" customFormat="1" ht="15" customHeight="1">
      <c r="A76" s="204"/>
      <c r="B76" s="204"/>
      <c r="C76" s="204"/>
      <c r="D76" s="204"/>
      <c r="E76" s="204"/>
      <c r="F76" s="204"/>
      <c r="G76" s="552"/>
      <c r="H76" s="217"/>
      <c r="I76" s="217"/>
      <c r="J76" s="553"/>
      <c r="N76" s="204"/>
      <c r="O76" s="204"/>
      <c r="P76" s="441"/>
      <c r="Q76" s="217"/>
      <c r="R76" s="217"/>
      <c r="S76" s="217"/>
      <c r="T76" s="217"/>
      <c r="U76" s="441"/>
      <c r="V76" s="217"/>
      <c r="W76" s="204"/>
    </row>
    <row r="77" spans="1:23" s="231" customFormat="1" ht="15" customHeight="1">
      <c r="A77" s="204"/>
      <c r="B77" s="204"/>
      <c r="C77" s="204"/>
      <c r="D77" s="204"/>
      <c r="E77" s="204"/>
      <c r="F77" s="204"/>
      <c r="G77" s="552"/>
      <c r="H77" s="217"/>
      <c r="I77" s="217"/>
      <c r="J77" s="553"/>
      <c r="N77" s="204"/>
      <c r="O77" s="204"/>
      <c r="P77" s="441"/>
      <c r="Q77" s="217"/>
      <c r="R77" s="217"/>
      <c r="S77" s="217"/>
      <c r="T77" s="217"/>
      <c r="U77" s="441"/>
      <c r="V77" s="217"/>
      <c r="W77" s="204"/>
    </row>
    <row r="78" spans="1:23" s="231" customFormat="1" ht="15" customHeight="1">
      <c r="A78" s="204"/>
      <c r="B78" s="204"/>
      <c r="C78" s="204"/>
      <c r="D78" s="204"/>
      <c r="E78" s="204"/>
      <c r="F78" s="204"/>
      <c r="G78" s="552"/>
      <c r="H78" s="217"/>
      <c r="I78" s="217"/>
      <c r="J78" s="553"/>
      <c r="N78" s="204"/>
      <c r="O78" s="204"/>
      <c r="P78" s="441"/>
      <c r="Q78" s="217"/>
      <c r="R78" s="217"/>
      <c r="S78" s="217"/>
      <c r="T78" s="217"/>
      <c r="U78" s="441"/>
      <c r="V78" s="217"/>
      <c r="W78" s="204"/>
    </row>
    <row r="79" spans="1:23" s="231" customFormat="1" ht="15" customHeight="1">
      <c r="A79" s="204"/>
      <c r="B79" s="204"/>
      <c r="C79" s="204"/>
      <c r="D79" s="204"/>
      <c r="E79" s="204"/>
      <c r="F79" s="204"/>
      <c r="G79" s="552"/>
      <c r="H79" s="217"/>
      <c r="I79" s="217"/>
      <c r="J79" s="553"/>
      <c r="N79" s="204"/>
      <c r="O79" s="204"/>
      <c r="P79" s="441"/>
      <c r="Q79" s="217"/>
      <c r="R79" s="217"/>
      <c r="S79" s="217"/>
      <c r="T79" s="217"/>
      <c r="U79" s="441"/>
      <c r="V79" s="217"/>
      <c r="W79" s="204"/>
    </row>
    <row r="80" spans="1:23" s="231" customFormat="1" ht="15" customHeight="1">
      <c r="A80" s="204"/>
      <c r="B80" s="204"/>
      <c r="C80" s="204"/>
      <c r="D80" s="204"/>
      <c r="E80" s="204"/>
      <c r="F80" s="204"/>
      <c r="G80" s="552"/>
      <c r="H80" s="217"/>
      <c r="I80" s="217"/>
      <c r="J80" s="553"/>
      <c r="N80" s="204"/>
      <c r="O80" s="204"/>
      <c r="P80" s="441"/>
      <c r="Q80" s="217"/>
      <c r="R80" s="217"/>
      <c r="S80" s="217"/>
      <c r="T80" s="217"/>
      <c r="U80" s="441"/>
      <c r="V80" s="217"/>
      <c r="W80" s="204"/>
    </row>
    <row r="81" spans="1:28" s="231" customFormat="1" ht="15" customHeight="1" thickBot="1">
      <c r="A81" s="204"/>
      <c r="B81" s="204"/>
      <c r="C81" s="204"/>
      <c r="D81" s="204"/>
      <c r="E81" s="204"/>
      <c r="F81" s="204"/>
      <c r="G81" s="552"/>
      <c r="H81" s="217"/>
      <c r="I81" s="217"/>
      <c r="J81" s="553"/>
      <c r="N81" s="204"/>
      <c r="O81" s="204"/>
      <c r="P81" s="441"/>
      <c r="Q81" s="217"/>
      <c r="R81" s="217"/>
      <c r="S81" s="217"/>
      <c r="T81" s="217"/>
      <c r="U81" s="441"/>
      <c r="V81" s="217"/>
      <c r="W81" s="204"/>
    </row>
    <row r="82" spans="1:28" s="231" customFormat="1" ht="36" customHeight="1" thickBot="1">
      <c r="A82" s="2083" t="s">
        <v>709</v>
      </c>
      <c r="B82" s="2084"/>
      <c r="C82" s="554" t="s">
        <v>683</v>
      </c>
      <c r="D82" s="555" t="s">
        <v>710</v>
      </c>
      <c r="E82" s="554" t="s">
        <v>711</v>
      </c>
      <c r="F82" s="556" t="s">
        <v>712</v>
      </c>
      <c r="G82" s="441"/>
      <c r="H82" s="441"/>
      <c r="I82" s="441"/>
      <c r="J82" s="441"/>
      <c r="L82" s="204"/>
    </row>
    <row r="83" spans="1:28" s="231" customFormat="1" ht="12" customHeight="1">
      <c r="A83" s="2085" t="s">
        <v>713</v>
      </c>
      <c r="B83" s="2086"/>
      <c r="C83" s="557"/>
      <c r="D83" s="558"/>
      <c r="E83" s="558"/>
      <c r="F83" s="559">
        <f>+C83-D83-E83</f>
        <v>0</v>
      </c>
      <c r="G83" s="204"/>
      <c r="H83" s="204"/>
    </row>
    <row r="84" spans="1:28" s="231" customFormat="1" ht="12" customHeight="1">
      <c r="A84" s="2087" t="s">
        <v>714</v>
      </c>
      <c r="B84" s="2088"/>
      <c r="C84" s="560"/>
      <c r="D84" s="561"/>
      <c r="E84" s="561"/>
      <c r="F84" s="562">
        <f>+C84-D84-E84</f>
        <v>0</v>
      </c>
      <c r="G84" s="204"/>
      <c r="H84" s="204"/>
    </row>
    <row r="85" spans="1:28" s="231" customFormat="1" ht="12" customHeight="1">
      <c r="A85" s="2087" t="s">
        <v>624</v>
      </c>
      <c r="B85" s="2088"/>
      <c r="C85" s="560"/>
      <c r="D85" s="561"/>
      <c r="E85" s="561"/>
      <c r="F85" s="562">
        <f>+C85-D85-E85</f>
        <v>0</v>
      </c>
      <c r="G85" s="204"/>
      <c r="H85" s="204"/>
    </row>
    <row r="86" spans="1:28" ht="12" customHeight="1">
      <c r="A86" s="2087" t="s">
        <v>715</v>
      </c>
      <c r="B86" s="2088"/>
      <c r="C86" s="560"/>
      <c r="D86" s="561"/>
      <c r="E86" s="561"/>
      <c r="F86" s="562">
        <f>+C86-D86-E86</f>
        <v>0</v>
      </c>
      <c r="G86" s="204"/>
      <c r="H86" s="204"/>
      <c r="I86" s="204"/>
      <c r="J86" s="204"/>
      <c r="K86" s="204"/>
    </row>
    <row r="87" spans="1:28" ht="12" customHeight="1" thickBot="1">
      <c r="A87" s="2092" t="s">
        <v>716</v>
      </c>
      <c r="B87" s="2093"/>
      <c r="C87" s="563"/>
      <c r="D87" s="564"/>
      <c r="E87" s="564"/>
      <c r="F87" s="565">
        <f>+C87-D87-E87</f>
        <v>0</v>
      </c>
      <c r="G87" s="204"/>
      <c r="H87" s="204"/>
    </row>
    <row r="88" spans="1:28" ht="18" customHeight="1" thickBot="1">
      <c r="A88" s="2094" t="s">
        <v>566</v>
      </c>
      <c r="B88" s="2095"/>
      <c r="C88" s="566">
        <f>SUM(C83:C87)</f>
        <v>0</v>
      </c>
      <c r="D88" s="567">
        <f>SUM(D83:D87)</f>
        <v>0</v>
      </c>
      <c r="E88" s="568">
        <f>SUM(E83:E87)</f>
        <v>0</v>
      </c>
      <c r="F88" s="567">
        <f>SUM(F83:F87)</f>
        <v>0</v>
      </c>
      <c r="G88" s="204"/>
      <c r="H88" s="569"/>
    </row>
    <row r="89" spans="1:28" ht="26.25" customHeight="1">
      <c r="C89" s="570" t="str">
        <f>IF(C88=J39,"OK","Check")</f>
        <v>OK</v>
      </c>
      <c r="P89" s="2061"/>
      <c r="Q89" s="2055"/>
      <c r="S89" s="231"/>
      <c r="T89" s="231"/>
      <c r="U89" s="231"/>
      <c r="V89" s="231"/>
      <c r="W89" s="231"/>
      <c r="X89" s="231" t="s">
        <v>717</v>
      </c>
      <c r="Y89" s="231" t="s">
        <v>718</v>
      </c>
      <c r="Z89" s="231"/>
      <c r="AA89" s="231"/>
      <c r="AB89" s="231"/>
    </row>
    <row r="90" spans="1:28" ht="13.8">
      <c r="A90" s="204"/>
      <c r="B90" s="231"/>
      <c r="C90" s="231"/>
      <c r="D90" s="231"/>
      <c r="E90" s="231"/>
      <c r="F90" s="231"/>
      <c r="G90" s="231"/>
      <c r="H90" s="231"/>
      <c r="Q90" s="231"/>
      <c r="S90" s="231"/>
      <c r="T90" s="571" t="s">
        <v>719</v>
      </c>
      <c r="U90" s="572"/>
      <c r="V90" s="572"/>
      <c r="W90" s="2054">
        <f>Y90/1.14</f>
        <v>6269266.5</v>
      </c>
      <c r="X90" s="2055"/>
      <c r="Y90" s="573">
        <v>7146963.8099999996</v>
      </c>
      <c r="Z90" s="574"/>
      <c r="AA90" s="231"/>
      <c r="AB90" s="231"/>
    </row>
    <row r="91" spans="1:28" ht="13.8">
      <c r="F91" s="575"/>
      <c r="P91" s="576"/>
      <c r="Q91" s="231"/>
      <c r="S91" s="231"/>
      <c r="T91" s="571" t="s">
        <v>720</v>
      </c>
      <c r="U91" s="572"/>
      <c r="V91" s="572"/>
      <c r="W91" s="2054">
        <f>W90*0.1</f>
        <v>626926.65</v>
      </c>
      <c r="X91" s="2055"/>
      <c r="Y91" s="573">
        <f>W91*1.14</f>
        <v>714696.38099999994</v>
      </c>
      <c r="Z91" s="574"/>
      <c r="AA91" s="231"/>
      <c r="AB91" s="231"/>
    </row>
    <row r="92" spans="1:28" ht="13.8">
      <c r="Q92" s="212"/>
      <c r="T92" s="571" t="s">
        <v>721</v>
      </c>
      <c r="U92" s="572"/>
      <c r="V92" s="572"/>
      <c r="W92" s="2054">
        <f>W90*0.1</f>
        <v>626926.65</v>
      </c>
      <c r="X92" s="2055"/>
      <c r="Y92" s="573">
        <f>W92*1.14</f>
        <v>714696.38099999994</v>
      </c>
      <c r="Z92" s="576"/>
    </row>
    <row r="93" spans="1:28" ht="13.8">
      <c r="A93" s="204"/>
      <c r="B93" s="204"/>
      <c r="C93" s="204"/>
      <c r="D93" s="204"/>
      <c r="E93" s="204"/>
      <c r="F93" s="204"/>
      <c r="G93" s="204"/>
      <c r="H93" s="204"/>
      <c r="Q93" s="212"/>
      <c r="T93" s="572"/>
      <c r="U93" s="572"/>
      <c r="V93" s="572"/>
      <c r="W93" s="572"/>
      <c r="X93" s="573"/>
      <c r="Y93" s="573"/>
      <c r="Z93" s="576"/>
    </row>
    <row r="94" spans="1:28" ht="18" thickBot="1">
      <c r="A94" s="204"/>
      <c r="B94" s="204"/>
      <c r="C94" s="204"/>
      <c r="D94" s="204"/>
      <c r="E94" s="204"/>
      <c r="F94" s="204"/>
      <c r="G94" s="204"/>
      <c r="H94" s="204"/>
      <c r="Q94" s="212"/>
      <c r="T94" s="577" t="s">
        <v>722</v>
      </c>
      <c r="U94" s="202"/>
      <c r="V94" s="202"/>
    </row>
    <row r="95" spans="1:28" ht="39.6">
      <c r="A95" s="204"/>
      <c r="B95" s="204"/>
      <c r="C95" s="204"/>
      <c r="D95" s="204"/>
      <c r="E95" s="578">
        <f>E97/1.14</f>
        <v>2296038.9473684211</v>
      </c>
      <c r="F95" s="204"/>
      <c r="G95" s="204"/>
      <c r="H95" s="204"/>
      <c r="O95" s="579" t="s">
        <v>723</v>
      </c>
      <c r="P95" s="580" t="s">
        <v>724</v>
      </c>
      <c r="Q95" s="581"/>
      <c r="R95" s="2059" t="s">
        <v>725</v>
      </c>
      <c r="S95" s="2060"/>
      <c r="T95" s="582" t="s">
        <v>726</v>
      </c>
      <c r="U95" s="583" t="s">
        <v>727</v>
      </c>
      <c r="V95" s="583" t="s">
        <v>728</v>
      </c>
      <c r="W95" s="584" t="s">
        <v>729</v>
      </c>
      <c r="X95" s="585" t="s">
        <v>730</v>
      </c>
      <c r="Y95" s="586" t="s">
        <v>731</v>
      </c>
      <c r="Z95" s="587" t="s">
        <v>732</v>
      </c>
      <c r="AA95" s="588" t="s">
        <v>733</v>
      </c>
      <c r="AB95" s="589" t="s">
        <v>734</v>
      </c>
    </row>
    <row r="96" spans="1:28" ht="15">
      <c r="A96" s="204"/>
      <c r="B96" s="204"/>
      <c r="C96" s="204"/>
      <c r="D96" s="204"/>
      <c r="E96" s="590"/>
      <c r="F96" s="204"/>
      <c r="G96" s="204"/>
      <c r="H96" s="204"/>
      <c r="O96" s="591">
        <f>W96+V96</f>
        <v>138710.09</v>
      </c>
      <c r="P96" s="2056">
        <f>W96</f>
        <v>138710.09</v>
      </c>
      <c r="Q96" s="2057"/>
      <c r="R96" s="2058">
        <f>V96</f>
        <v>0</v>
      </c>
      <c r="S96" s="2057"/>
      <c r="T96" s="592">
        <v>1</v>
      </c>
      <c r="U96" s="593">
        <v>0</v>
      </c>
      <c r="V96" s="593">
        <f t="shared" ref="V96:V101" si="0">U96*0.1</f>
        <v>0</v>
      </c>
      <c r="W96" s="593">
        <v>138710.09</v>
      </c>
      <c r="X96" s="594">
        <f>W96/$W$91</f>
        <v>0.22125409726959286</v>
      </c>
      <c r="Y96" s="593">
        <f>U96-W96</f>
        <v>-138710.09</v>
      </c>
      <c r="Z96" s="593">
        <f>W96+V96</f>
        <v>138710.09</v>
      </c>
      <c r="AA96" s="593"/>
      <c r="AB96" s="595"/>
    </row>
    <row r="97" spans="1:28">
      <c r="A97" s="204"/>
      <c r="B97" s="204"/>
      <c r="C97" s="596" t="s">
        <v>735</v>
      </c>
      <c r="D97" s="596"/>
      <c r="E97" s="597">
        <v>2617484.4</v>
      </c>
      <c r="F97" s="596"/>
      <c r="G97" s="596"/>
      <c r="H97" s="596"/>
      <c r="O97" s="598">
        <f>P97+R97</f>
        <v>338628.57</v>
      </c>
      <c r="P97" s="2048">
        <f>W97+P96</f>
        <v>338628.57</v>
      </c>
      <c r="Q97" s="2049"/>
      <c r="R97" s="2050">
        <f>V97+R96</f>
        <v>0</v>
      </c>
      <c r="S97" s="2049"/>
      <c r="T97" s="599">
        <v>2</v>
      </c>
      <c r="U97" s="600">
        <v>0</v>
      </c>
      <c r="V97" s="600">
        <f t="shared" si="0"/>
        <v>0</v>
      </c>
      <c r="W97" s="600">
        <f>Z97-V97</f>
        <v>199918.48</v>
      </c>
      <c r="X97" s="601">
        <f>W97/$W$91</f>
        <v>0.31888655554840428</v>
      </c>
      <c r="Y97" s="600">
        <f>U97-Z97</f>
        <v>-199918.48</v>
      </c>
      <c r="Z97" s="600">
        <v>199918.48</v>
      </c>
      <c r="AA97" s="600"/>
      <c r="AB97" s="602"/>
    </row>
    <row r="98" spans="1:28">
      <c r="A98" s="204"/>
      <c r="B98" s="204"/>
      <c r="C98" s="596"/>
      <c r="D98" s="596"/>
      <c r="E98" s="597"/>
      <c r="F98" s="596"/>
      <c r="G98" s="596"/>
      <c r="H98" s="596"/>
      <c r="I98" s="204"/>
      <c r="J98" s="204"/>
      <c r="K98" s="204"/>
      <c r="O98" s="598">
        <f>P98+R98</f>
        <v>538547.05000000005</v>
      </c>
      <c r="P98" s="2048">
        <f>W98+P97</f>
        <v>538547.05000000005</v>
      </c>
      <c r="Q98" s="2049"/>
      <c r="R98" s="2050">
        <f>V98+R97</f>
        <v>0</v>
      </c>
      <c r="S98" s="2049"/>
      <c r="T98" s="599">
        <v>3</v>
      </c>
      <c r="U98" s="600">
        <v>0</v>
      </c>
      <c r="V98" s="600">
        <f t="shared" si="0"/>
        <v>0</v>
      </c>
      <c r="W98" s="600">
        <f>Z98-V98</f>
        <v>199918.48</v>
      </c>
      <c r="X98" s="601">
        <f>W98/$W$91</f>
        <v>0.31888655554840428</v>
      </c>
      <c r="Y98" s="600">
        <f>U98-Z98</f>
        <v>-199918.48</v>
      </c>
      <c r="Z98" s="600">
        <v>199918.48</v>
      </c>
      <c r="AA98" s="600"/>
      <c r="AB98" s="602"/>
    </row>
    <row r="99" spans="1:28" ht="13.8">
      <c r="A99" s="204"/>
      <c r="B99" s="204"/>
      <c r="C99" s="596" t="s">
        <v>736</v>
      </c>
      <c r="D99" s="596"/>
      <c r="E99" s="597">
        <f>E97/1.025</f>
        <v>2553643.317073171</v>
      </c>
      <c r="F99" s="596"/>
      <c r="G99" s="603" t="s">
        <v>737</v>
      </c>
      <c r="H99" s="596"/>
      <c r="I99" s="204"/>
      <c r="J99" s="204"/>
      <c r="K99" s="204"/>
      <c r="O99" s="598">
        <f>P99+R99</f>
        <v>538547.05000000005</v>
      </c>
      <c r="P99" s="2048">
        <f>W99+P98</f>
        <v>538547.05000000005</v>
      </c>
      <c r="Q99" s="2049"/>
      <c r="R99" s="2050">
        <f>V99+R98</f>
        <v>0</v>
      </c>
      <c r="S99" s="2049"/>
      <c r="T99" s="599">
        <v>4</v>
      </c>
      <c r="U99" s="600">
        <v>0</v>
      </c>
      <c r="V99" s="600">
        <f t="shared" si="0"/>
        <v>0</v>
      </c>
      <c r="W99" s="600">
        <v>0</v>
      </c>
      <c r="X99" s="599">
        <v>0</v>
      </c>
      <c r="Y99" s="600">
        <f>U99-V99</f>
        <v>0</v>
      </c>
      <c r="Z99" s="600">
        <f>V99</f>
        <v>0</v>
      </c>
      <c r="AA99" s="600"/>
      <c r="AB99" s="602">
        <v>804704</v>
      </c>
    </row>
    <row r="100" spans="1:28">
      <c r="A100" s="204"/>
      <c r="B100" s="204"/>
      <c r="C100" s="596"/>
      <c r="D100" s="596"/>
      <c r="E100" s="597"/>
      <c r="F100" s="596"/>
      <c r="G100" s="596"/>
      <c r="H100" s="596"/>
      <c r="I100" s="204"/>
      <c r="J100" s="204"/>
      <c r="K100" s="204"/>
      <c r="O100" s="598">
        <f>P100+R100</f>
        <v>538547.05000000005</v>
      </c>
      <c r="P100" s="2048">
        <f>W100+P99</f>
        <v>538547.05000000005</v>
      </c>
      <c r="Q100" s="2049"/>
      <c r="R100" s="2050">
        <f>V100+R99</f>
        <v>0</v>
      </c>
      <c r="S100" s="2049"/>
      <c r="T100" s="599">
        <v>5</v>
      </c>
      <c r="U100" s="600">
        <v>0</v>
      </c>
      <c r="V100" s="600">
        <f t="shared" si="0"/>
        <v>0</v>
      </c>
      <c r="W100" s="600">
        <v>0</v>
      </c>
      <c r="X100" s="599">
        <v>0</v>
      </c>
      <c r="Y100" s="600">
        <f>U100-Z100</f>
        <v>-178682.68</v>
      </c>
      <c r="Z100" s="600">
        <f>178682.68</f>
        <v>178682.68</v>
      </c>
      <c r="AA100" s="600"/>
      <c r="AB100" s="602"/>
    </row>
    <row r="101" spans="1:28" ht="13.8" thickBot="1">
      <c r="A101" s="204"/>
      <c r="B101" s="204"/>
      <c r="C101" s="596"/>
      <c r="D101" s="596"/>
      <c r="E101" s="597"/>
      <c r="F101" s="596"/>
      <c r="G101" s="596"/>
      <c r="H101" s="596"/>
      <c r="I101" s="204"/>
      <c r="J101" s="204"/>
      <c r="K101" s="204"/>
      <c r="O101" s="604">
        <f>P101+R101</f>
        <v>538547.05000000005</v>
      </c>
      <c r="P101" s="2051">
        <f>W101+P100</f>
        <v>538547.05000000005</v>
      </c>
      <c r="Q101" s="2052"/>
      <c r="R101" s="2053">
        <f>V101+R100</f>
        <v>0</v>
      </c>
      <c r="S101" s="2052"/>
      <c r="T101" s="605">
        <v>6</v>
      </c>
      <c r="U101" s="606">
        <v>0</v>
      </c>
      <c r="V101" s="606">
        <f t="shared" si="0"/>
        <v>0</v>
      </c>
      <c r="W101" s="606">
        <v>0</v>
      </c>
      <c r="X101" s="605">
        <v>0</v>
      </c>
      <c r="Y101" s="607"/>
      <c r="Z101" s="606"/>
      <c r="AA101" s="606"/>
      <c r="AB101" s="608"/>
    </row>
    <row r="102" spans="1:28" ht="13.8" thickBot="1">
      <c r="A102" s="204"/>
      <c r="B102" s="204"/>
      <c r="C102" s="596" t="s">
        <v>738</v>
      </c>
      <c r="D102" s="596"/>
      <c r="E102" s="597">
        <f>E99/1.14</f>
        <v>2240037.9974326063</v>
      </c>
      <c r="F102" s="596"/>
      <c r="G102" s="596"/>
      <c r="H102" s="596"/>
      <c r="I102" s="204"/>
      <c r="J102" s="204"/>
      <c r="K102" s="204"/>
      <c r="O102" s="609"/>
      <c r="P102" s="610"/>
      <c r="Q102" s="611"/>
      <c r="R102" s="610"/>
      <c r="S102" s="612"/>
      <c r="T102" s="613" t="s">
        <v>739</v>
      </c>
      <c r="U102" s="614">
        <f t="shared" ref="U102:Z102" si="1">SUM(U96:U101)</f>
        <v>0</v>
      </c>
      <c r="V102" s="614">
        <f t="shared" si="1"/>
        <v>0</v>
      </c>
      <c r="W102" s="614">
        <f t="shared" si="1"/>
        <v>538547.05000000005</v>
      </c>
      <c r="X102" s="615">
        <f t="shared" si="1"/>
        <v>0.85902720836640145</v>
      </c>
      <c r="Y102" s="614">
        <f t="shared" si="1"/>
        <v>-717229.73</v>
      </c>
      <c r="Z102" s="616">
        <f t="shared" si="1"/>
        <v>717229.73</v>
      </c>
      <c r="AA102" s="616"/>
      <c r="AB102" s="617"/>
    </row>
    <row r="103" spans="1:28" ht="15">
      <c r="A103" s="204"/>
      <c r="B103" s="204"/>
      <c r="C103" s="204"/>
      <c r="D103" s="204"/>
      <c r="E103" s="590"/>
      <c r="F103" s="204"/>
      <c r="G103" s="204"/>
      <c r="H103" s="204"/>
      <c r="I103" s="204"/>
      <c r="J103" s="204"/>
      <c r="K103" s="204"/>
      <c r="T103" s="204" t="s">
        <v>712</v>
      </c>
      <c r="U103" s="576">
        <f>W90-U102</f>
        <v>6269266.5</v>
      </c>
      <c r="V103" s="576"/>
      <c r="W103" s="576"/>
      <c r="X103" s="618"/>
      <c r="Z103" s="576"/>
    </row>
    <row r="104" spans="1:28" ht="15">
      <c r="A104" s="204"/>
      <c r="B104" s="204"/>
      <c r="C104" s="204"/>
      <c r="D104" s="204"/>
      <c r="E104" s="590"/>
      <c r="F104" s="204"/>
      <c r="G104" s="204"/>
      <c r="H104" s="204"/>
      <c r="I104" s="204"/>
      <c r="J104" s="204"/>
      <c r="K104" s="204"/>
    </row>
    <row r="105" spans="1:28" ht="15">
      <c r="A105" s="204"/>
      <c r="B105" s="204"/>
      <c r="C105" s="204"/>
      <c r="D105" s="204"/>
      <c r="E105" s="590"/>
      <c r="F105" s="204"/>
      <c r="G105" s="204"/>
      <c r="H105" s="204"/>
      <c r="I105" s="204"/>
      <c r="J105" s="204"/>
      <c r="K105" s="204"/>
    </row>
    <row r="106" spans="1:28">
      <c r="A106" s="204"/>
      <c r="B106" s="204"/>
      <c r="C106" s="204"/>
      <c r="D106" s="204"/>
      <c r="E106" s="204"/>
      <c r="F106" s="204"/>
      <c r="G106" s="204"/>
      <c r="H106" s="204"/>
      <c r="I106" s="204"/>
      <c r="J106" s="204"/>
      <c r="K106" s="204"/>
    </row>
    <row r="107" spans="1:28">
      <c r="A107" s="204"/>
      <c r="B107" s="204"/>
      <c r="C107" s="204"/>
      <c r="D107" s="204"/>
      <c r="E107" s="204"/>
      <c r="F107" s="204"/>
      <c r="G107" s="204"/>
      <c r="H107" s="204"/>
      <c r="I107" s="204"/>
      <c r="J107" s="204"/>
      <c r="K107" s="204"/>
    </row>
    <row r="108" spans="1:28">
      <c r="A108" s="204"/>
      <c r="B108" s="204"/>
      <c r="C108" s="204"/>
      <c r="D108" s="204"/>
      <c r="E108" s="204"/>
      <c r="F108" s="204"/>
      <c r="G108" s="204"/>
      <c r="H108" s="204"/>
      <c r="I108" s="204"/>
      <c r="J108" s="204"/>
      <c r="K108" s="204"/>
    </row>
    <row r="109" spans="1:28">
      <c r="A109" s="204"/>
      <c r="B109" s="204"/>
      <c r="C109" s="204"/>
      <c r="D109" s="204"/>
      <c r="E109" s="204"/>
      <c r="F109" s="204"/>
      <c r="G109" s="204"/>
      <c r="H109" s="204"/>
      <c r="I109" s="204"/>
      <c r="J109" s="204"/>
      <c r="K109" s="204"/>
    </row>
    <row r="110" spans="1:28">
      <c r="A110" s="204"/>
      <c r="B110" s="204"/>
      <c r="C110" s="204"/>
      <c r="D110" s="204"/>
      <c r="E110" s="204"/>
      <c r="F110" s="204"/>
      <c r="G110" s="204"/>
      <c r="H110" s="204"/>
      <c r="I110" s="204"/>
      <c r="J110" s="204"/>
      <c r="K110" s="204"/>
    </row>
    <row r="111" spans="1:28">
      <c r="A111" s="204"/>
      <c r="B111" s="204"/>
      <c r="C111" s="204"/>
      <c r="D111" s="204"/>
      <c r="E111" s="204"/>
      <c r="F111" s="204"/>
      <c r="G111" s="204"/>
      <c r="H111" s="204"/>
      <c r="I111" s="204"/>
      <c r="J111" s="204"/>
      <c r="K111" s="204"/>
    </row>
    <row r="112" spans="1:28">
      <c r="A112" s="204"/>
      <c r="B112" s="204"/>
      <c r="C112" s="204"/>
      <c r="D112" s="204"/>
      <c r="E112" s="204"/>
      <c r="F112" s="204"/>
      <c r="G112" s="204"/>
      <c r="H112" s="204"/>
      <c r="I112" s="204"/>
      <c r="J112" s="204"/>
      <c r="K112" s="204"/>
    </row>
    <row r="113" s="204" customFormat="1"/>
    <row r="114" s="204" customFormat="1"/>
    <row r="115" s="204" customFormat="1"/>
    <row r="116" s="204" customFormat="1"/>
    <row r="117" s="204" customFormat="1"/>
    <row r="118" s="204" customFormat="1"/>
    <row r="119" s="204" customFormat="1"/>
    <row r="120" s="204" customFormat="1"/>
    <row r="121" s="204" customFormat="1"/>
    <row r="122" s="204" customFormat="1"/>
    <row r="123" s="204" customFormat="1"/>
    <row r="124" s="204" customFormat="1"/>
    <row r="125" s="204" customFormat="1"/>
    <row r="126" s="204" customFormat="1"/>
    <row r="127" s="204" customFormat="1"/>
    <row r="128" s="204" customFormat="1"/>
    <row r="129" s="204" customFormat="1"/>
    <row r="130" s="204" customFormat="1"/>
    <row r="131" s="204" customFormat="1"/>
    <row r="132" s="204" customFormat="1"/>
    <row r="133" s="204" customFormat="1"/>
    <row r="134" s="204" customFormat="1"/>
    <row r="135" s="204" customFormat="1"/>
    <row r="136" s="204" customFormat="1"/>
    <row r="137" s="204" customFormat="1"/>
    <row r="138" s="204" customFormat="1"/>
    <row r="139" s="204" customFormat="1"/>
    <row r="140" s="204" customFormat="1"/>
    <row r="141" s="204" customFormat="1"/>
    <row r="142" s="204" customFormat="1"/>
    <row r="143" s="204" customFormat="1"/>
    <row r="144" s="204" customFormat="1"/>
    <row r="145" s="204" customFormat="1"/>
    <row r="146" s="204" customFormat="1"/>
    <row r="147" s="204" customFormat="1"/>
    <row r="148" s="204" customFormat="1"/>
    <row r="149" s="204" customFormat="1"/>
    <row r="150" s="204" customFormat="1"/>
    <row r="151" s="204" customFormat="1"/>
    <row r="152" s="204" customFormat="1"/>
    <row r="153" s="204" customFormat="1"/>
    <row r="154" s="204" customFormat="1"/>
    <row r="155" s="204" customFormat="1"/>
    <row r="156" s="204" customFormat="1"/>
    <row r="157" s="204" customFormat="1"/>
    <row r="158" s="204" customFormat="1"/>
  </sheetData>
  <mergeCells count="38">
    <mergeCell ref="C14:D14"/>
    <mergeCell ref="C16:D16"/>
    <mergeCell ref="C11:D11"/>
    <mergeCell ref="A87:B87"/>
    <mergeCell ref="A88:B88"/>
    <mergeCell ref="A86:B86"/>
    <mergeCell ref="P89:Q89"/>
    <mergeCell ref="U65:V65"/>
    <mergeCell ref="A1:J1"/>
    <mergeCell ref="N1:V1"/>
    <mergeCell ref="A2:J2"/>
    <mergeCell ref="N2:V2"/>
    <mergeCell ref="A11:B11"/>
    <mergeCell ref="F11:G11"/>
    <mergeCell ref="A12:B12"/>
    <mergeCell ref="F12:G12"/>
    <mergeCell ref="C56:J57"/>
    <mergeCell ref="P65:Q65"/>
    <mergeCell ref="A82:B82"/>
    <mergeCell ref="A83:B83"/>
    <mergeCell ref="A84:B84"/>
    <mergeCell ref="A85:B85"/>
    <mergeCell ref="W90:X90"/>
    <mergeCell ref="W91:X91"/>
    <mergeCell ref="W92:X92"/>
    <mergeCell ref="P96:Q96"/>
    <mergeCell ref="R96:S96"/>
    <mergeCell ref="R95:S95"/>
    <mergeCell ref="P100:Q100"/>
    <mergeCell ref="R100:S100"/>
    <mergeCell ref="P101:Q101"/>
    <mergeCell ref="R101:S101"/>
    <mergeCell ref="P97:Q97"/>
    <mergeCell ref="R97:S97"/>
    <mergeCell ref="P98:Q98"/>
    <mergeCell ref="R98:S98"/>
    <mergeCell ref="P99:Q99"/>
    <mergeCell ref="R99:S99"/>
  </mergeCells>
  <printOptions horizontalCentered="1"/>
  <pageMargins left="0.51181102362204722" right="0.31496062992125984" top="0.39370078740157483" bottom="0.59055118110236227" header="0.23622047244094491" footer="0.27559055118110237"/>
  <pageSetup paperSize="9" scale="76" orientation="portrait" r:id="rId1"/>
  <headerFooter alignWithMargins="0"/>
  <colBreaks count="1" manualBreakCount="1">
    <brk id="12" max="67"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6"/>
  <sheetViews>
    <sheetView view="pageBreakPreview" zoomScale="90" zoomScaleNormal="100" zoomScaleSheetLayoutView="90" workbookViewId="0">
      <pane ySplit="8" topLeftCell="A9" activePane="bottomLeft" state="frozen"/>
      <selection activeCell="H47" sqref="H47"/>
      <selection pane="bottomLeft" activeCell="F58" sqref="F58"/>
    </sheetView>
  </sheetViews>
  <sheetFormatPr defaultColWidth="9.109375" defaultRowHeight="13.2"/>
  <cols>
    <col min="1" max="1" width="10.33203125" style="1337" customWidth="1"/>
    <col min="2" max="2" width="38.5546875" style="1409" customWidth="1"/>
    <col min="3" max="3" width="9.33203125" style="1337" customWidth="1"/>
    <col min="4" max="4" width="10.6640625" style="1382" customWidth="1"/>
    <col min="5" max="5" width="11.109375" style="1377" customWidth="1"/>
    <col min="6" max="6" width="15.6640625" style="1383" customWidth="1"/>
    <col min="7" max="16384" width="9.109375" style="1337"/>
  </cols>
  <sheetData>
    <row r="1" spans="1:6" ht="15" customHeight="1">
      <c r="A1" s="2028" t="str">
        <f>+'1700'!A1</f>
        <v>GREATER LETABA MUNICIPALITY</v>
      </c>
      <c r="B1" s="1334"/>
      <c r="C1" s="1335"/>
      <c r="D1" s="1335"/>
      <c r="E1" s="1335"/>
      <c r="F1" s="1379"/>
    </row>
    <row r="2" spans="1:6" ht="12.6" customHeight="1">
      <c r="A2" s="2208" t="str">
        <f>+'1700'!A2</f>
        <v>CONTRACT NUMBER: GLM015/2025</v>
      </c>
      <c r="B2" s="2208"/>
      <c r="C2" s="1335"/>
      <c r="D2" s="1335"/>
      <c r="E2" s="1335"/>
      <c r="F2" s="1380"/>
    </row>
    <row r="3" spans="1:6" ht="15" customHeight="1">
      <c r="A3" s="1338" t="s">
        <v>1439</v>
      </c>
      <c r="B3" s="1381"/>
    </row>
    <row r="4" spans="1:6" ht="15" customHeight="1">
      <c r="A4" s="1339" t="s">
        <v>1453</v>
      </c>
      <c r="B4" s="1337"/>
    </row>
    <row r="5" spans="1:6" ht="15" customHeight="1">
      <c r="A5" s="1339" t="s">
        <v>1454</v>
      </c>
      <c r="B5" s="1337"/>
      <c r="F5" s="1384"/>
    </row>
    <row r="6" spans="1:6" ht="5.0999999999999996" customHeight="1">
      <c r="A6" s="1340"/>
      <c r="B6" s="1340"/>
      <c r="C6" s="1338"/>
      <c r="D6" s="1338"/>
      <c r="E6" s="1341"/>
      <c r="F6" s="1385"/>
    </row>
    <row r="7" spans="1:6">
      <c r="A7" s="1338"/>
      <c r="B7" s="1340"/>
      <c r="C7" s="1338"/>
      <c r="D7" s="2205"/>
      <c r="E7" s="2206"/>
      <c r="F7" s="2207"/>
    </row>
    <row r="8" spans="1:6" s="1346" customFormat="1" ht="15" customHeight="1">
      <c r="A8" s="1343" t="s">
        <v>0</v>
      </c>
      <c r="B8" s="1343" t="s">
        <v>2</v>
      </c>
      <c r="C8" s="1343" t="s">
        <v>3</v>
      </c>
      <c r="D8" s="1343" t="s">
        <v>4</v>
      </c>
      <c r="E8" s="1344" t="s">
        <v>5</v>
      </c>
      <c r="F8" s="1386" t="s">
        <v>6</v>
      </c>
    </row>
    <row r="9" spans="1:6">
      <c r="A9" s="1387"/>
      <c r="B9" s="1388"/>
      <c r="C9" s="1387"/>
      <c r="D9" s="1387"/>
      <c r="E9" s="1389"/>
      <c r="F9" s="1390"/>
    </row>
    <row r="10" spans="1:6">
      <c r="A10" s="1353" t="s">
        <v>1455</v>
      </c>
      <c r="B10" s="1361" t="s">
        <v>1456</v>
      </c>
      <c r="C10" s="1355"/>
      <c r="D10" s="1362"/>
      <c r="E10" s="1356"/>
      <c r="F10" s="1391"/>
    </row>
    <row r="11" spans="1:6">
      <c r="A11" s="1353"/>
      <c r="B11" s="1361"/>
      <c r="C11" s="1355"/>
      <c r="D11" s="1362"/>
      <c r="E11" s="1356"/>
      <c r="F11" s="1391"/>
    </row>
    <row r="12" spans="1:6">
      <c r="A12" s="1353"/>
      <c r="B12" s="1361" t="s">
        <v>1457</v>
      </c>
      <c r="C12" s="1355"/>
      <c r="D12" s="1362"/>
      <c r="E12" s="1356"/>
      <c r="F12" s="1391"/>
    </row>
    <row r="13" spans="1:6">
      <c r="A13" s="1353"/>
      <c r="B13" s="1361" t="s">
        <v>1458</v>
      </c>
      <c r="C13" s="1355"/>
      <c r="D13" s="1362"/>
      <c r="E13" s="1356"/>
      <c r="F13" s="1391"/>
    </row>
    <row r="14" spans="1:6">
      <c r="A14" s="1353"/>
      <c r="B14" s="1361" t="s">
        <v>1459</v>
      </c>
      <c r="C14" s="1355"/>
      <c r="D14" s="1392"/>
      <c r="E14" s="1356"/>
      <c r="F14" s="1391"/>
    </row>
    <row r="15" spans="1:6">
      <c r="A15" s="1353"/>
      <c r="B15" s="1361" t="s">
        <v>1460</v>
      </c>
      <c r="C15" s="1355"/>
      <c r="D15" s="1392"/>
      <c r="E15" s="1356"/>
      <c r="F15" s="1391"/>
    </row>
    <row r="16" spans="1:6">
      <c r="A16" s="1353"/>
      <c r="B16" s="1361"/>
      <c r="C16" s="1355"/>
      <c r="D16" s="1392"/>
      <c r="E16" s="1356"/>
      <c r="F16" s="1391"/>
    </row>
    <row r="17" spans="1:6" ht="15.6">
      <c r="A17" s="1353"/>
      <c r="B17" s="1361" t="s">
        <v>1461</v>
      </c>
      <c r="C17" s="1355" t="s">
        <v>1462</v>
      </c>
      <c r="D17" s="1362">
        <f>(1000*1*0.15*1.5)</f>
        <v>225</v>
      </c>
      <c r="E17" s="1356"/>
      <c r="F17" s="1393"/>
    </row>
    <row r="18" spans="1:6">
      <c r="A18" s="1353"/>
      <c r="B18" s="1361"/>
      <c r="C18" s="1355"/>
      <c r="D18" s="1362"/>
      <c r="E18" s="1356"/>
      <c r="F18" s="1393"/>
    </row>
    <row r="19" spans="1:6" ht="15.6">
      <c r="A19" s="1394"/>
      <c r="B19" s="1361" t="s">
        <v>1463</v>
      </c>
      <c r="C19" s="1355" t="s">
        <v>1462</v>
      </c>
      <c r="D19" s="1362">
        <f>D17/2</f>
        <v>112.5</v>
      </c>
      <c r="E19" s="1356"/>
      <c r="F19" s="1393"/>
    </row>
    <row r="20" spans="1:6">
      <c r="A20" s="1394"/>
      <c r="B20" s="1361"/>
      <c r="C20" s="1355"/>
      <c r="D20" s="1362"/>
      <c r="E20" s="1356"/>
      <c r="F20" s="1391"/>
    </row>
    <row r="21" spans="1:6">
      <c r="A21" s="1353"/>
      <c r="B21" s="1361"/>
      <c r="C21" s="1355"/>
      <c r="D21" s="1362"/>
      <c r="E21" s="1356"/>
      <c r="F21" s="1391"/>
    </row>
    <row r="22" spans="1:6">
      <c r="A22" s="1353"/>
      <c r="B22" s="1361"/>
      <c r="C22" s="1355"/>
      <c r="D22" s="1362"/>
      <c r="E22" s="1356"/>
      <c r="F22" s="1391"/>
    </row>
    <row r="23" spans="1:6">
      <c r="A23" s="1353"/>
      <c r="B23" s="1361"/>
      <c r="C23" s="1355"/>
      <c r="D23" s="1362"/>
      <c r="E23" s="1356"/>
      <c r="F23" s="1391"/>
    </row>
    <row r="24" spans="1:6">
      <c r="A24" s="1353"/>
      <c r="B24" s="1361"/>
      <c r="C24" s="1355"/>
      <c r="D24" s="1362"/>
      <c r="E24" s="1356"/>
      <c r="F24" s="1393"/>
    </row>
    <row r="25" spans="1:6">
      <c r="A25" s="1353"/>
      <c r="B25" s="1361"/>
      <c r="C25" s="1355"/>
      <c r="D25" s="1362"/>
      <c r="E25" s="1356"/>
      <c r="F25" s="1393"/>
    </row>
    <row r="26" spans="1:6">
      <c r="A26" s="1353"/>
      <c r="B26" s="1395"/>
      <c r="C26" s="1355"/>
      <c r="D26" s="1362"/>
      <c r="E26" s="1356"/>
      <c r="F26" s="1393"/>
    </row>
    <row r="27" spans="1:6">
      <c r="A27" s="1353"/>
      <c r="B27" s="1361"/>
      <c r="C27" s="1355"/>
      <c r="D27" s="1362"/>
      <c r="E27" s="1356"/>
      <c r="F27" s="1393"/>
    </row>
    <row r="28" spans="1:6">
      <c r="A28" s="1353"/>
      <c r="B28" s="1361"/>
      <c r="C28" s="1355"/>
      <c r="D28" s="1362"/>
      <c r="E28" s="1356"/>
      <c r="F28" s="1391"/>
    </row>
    <row r="29" spans="1:6">
      <c r="A29" s="1353"/>
      <c r="B29" s="1361"/>
      <c r="C29" s="1355"/>
      <c r="D29" s="1362"/>
      <c r="E29" s="1356"/>
      <c r="F29" s="1391"/>
    </row>
    <row r="30" spans="1:6">
      <c r="A30" s="1353"/>
      <c r="B30" s="1361"/>
      <c r="C30" s="1355"/>
      <c r="D30" s="1362"/>
      <c r="E30" s="1356"/>
      <c r="F30" s="1391"/>
    </row>
    <row r="31" spans="1:6">
      <c r="A31" s="1353"/>
      <c r="B31" s="1361" t="s">
        <v>9</v>
      </c>
      <c r="C31" s="1355"/>
      <c r="D31" s="1362"/>
      <c r="E31" s="1356"/>
      <c r="F31" s="1391"/>
    </row>
    <row r="32" spans="1:6">
      <c r="A32" s="1353"/>
      <c r="B32" s="1361"/>
      <c r="C32" s="1355"/>
      <c r="D32" s="1362"/>
      <c r="E32" s="1356"/>
      <c r="F32" s="1391"/>
    </row>
    <row r="33" spans="1:6">
      <c r="A33" s="1353"/>
      <c r="B33" s="1361"/>
      <c r="C33" s="1355"/>
      <c r="D33" s="1362"/>
      <c r="E33" s="1356"/>
      <c r="F33" s="1391"/>
    </row>
    <row r="34" spans="1:6">
      <c r="A34" s="1353"/>
      <c r="B34" s="1361"/>
      <c r="C34" s="1355"/>
      <c r="D34" s="1362"/>
      <c r="E34" s="1356"/>
      <c r="F34" s="1391"/>
    </row>
    <row r="35" spans="1:6">
      <c r="A35" s="1353"/>
      <c r="B35" s="1361"/>
      <c r="C35" s="1355"/>
      <c r="D35" s="1362"/>
      <c r="E35" s="1356"/>
      <c r="F35" s="1391"/>
    </row>
    <row r="36" spans="1:6">
      <c r="A36" s="1353"/>
      <c r="B36" s="1361"/>
      <c r="C36" s="1355"/>
      <c r="D36" s="1362"/>
      <c r="E36" s="1356"/>
      <c r="F36" s="1391"/>
    </row>
    <row r="37" spans="1:6">
      <c r="A37" s="1353"/>
      <c r="B37" s="1361"/>
      <c r="C37" s="1355"/>
      <c r="D37" s="1362"/>
      <c r="E37" s="1356"/>
      <c r="F37" s="1393"/>
    </row>
    <row r="38" spans="1:6">
      <c r="A38" s="1353"/>
      <c r="B38" s="1361"/>
      <c r="C38" s="1355"/>
      <c r="D38" s="1362"/>
      <c r="E38" s="1356"/>
      <c r="F38" s="1391"/>
    </row>
    <row r="39" spans="1:6">
      <c r="A39" s="1353"/>
      <c r="B39" s="1361"/>
      <c r="C39" s="1355"/>
      <c r="D39" s="1355"/>
      <c r="E39" s="1356"/>
      <c r="F39" s="1391"/>
    </row>
    <row r="40" spans="1:6">
      <c r="A40" s="1353"/>
      <c r="B40" s="1361"/>
      <c r="C40" s="1355"/>
      <c r="D40" s="1362"/>
      <c r="E40" s="1356"/>
      <c r="F40" s="1391"/>
    </row>
    <row r="41" spans="1:6">
      <c r="A41" s="1353"/>
      <c r="B41" s="1361"/>
      <c r="C41" s="1355"/>
      <c r="D41" s="1362"/>
      <c r="E41" s="1356"/>
      <c r="F41" s="1391"/>
    </row>
    <row r="42" spans="1:6">
      <c r="A42" s="1353"/>
      <c r="B42" s="1361"/>
      <c r="C42" s="1355"/>
      <c r="D42" s="1362"/>
      <c r="E42" s="1356"/>
      <c r="F42" s="1391"/>
    </row>
    <row r="43" spans="1:6">
      <c r="A43" s="1353"/>
      <c r="B43" s="1361"/>
      <c r="C43" s="1355"/>
      <c r="D43" s="1362"/>
      <c r="E43" s="1356"/>
      <c r="F43" s="1391"/>
    </row>
    <row r="44" spans="1:6">
      <c r="A44" s="1353"/>
      <c r="B44" s="1361"/>
      <c r="C44" s="1355"/>
      <c r="D44" s="1362"/>
      <c r="E44" s="1356"/>
      <c r="F44" s="1393"/>
    </row>
    <row r="45" spans="1:6">
      <c r="A45" s="1353"/>
      <c r="B45" s="1361"/>
      <c r="C45" s="1355"/>
      <c r="D45" s="1362"/>
      <c r="E45" s="1356"/>
      <c r="F45" s="1391"/>
    </row>
    <row r="46" spans="1:6">
      <c r="A46" s="1353"/>
      <c r="B46" s="1361"/>
      <c r="C46" s="1355"/>
      <c r="D46" s="1362"/>
      <c r="E46" s="1356"/>
      <c r="F46" s="1391"/>
    </row>
    <row r="47" spans="1:6">
      <c r="A47" s="1353"/>
      <c r="B47" s="1361"/>
      <c r="C47" s="1355"/>
      <c r="D47" s="1362"/>
      <c r="E47" s="1356"/>
      <c r="F47" s="1393"/>
    </row>
    <row r="48" spans="1:6">
      <c r="A48" s="1353"/>
      <c r="B48" s="1361"/>
      <c r="C48" s="1355"/>
      <c r="D48" s="1362"/>
      <c r="E48" s="1356"/>
      <c r="F48" s="1391"/>
    </row>
    <row r="49" spans="1:6">
      <c r="A49" s="1353"/>
      <c r="B49" s="1361"/>
      <c r="C49" s="1355"/>
      <c r="D49" s="1362"/>
      <c r="E49" s="1356"/>
      <c r="F49" s="1393"/>
    </row>
    <row r="50" spans="1:6">
      <c r="A50" s="1353"/>
      <c r="B50" s="1361"/>
      <c r="C50" s="1355"/>
      <c r="D50" s="1362"/>
      <c r="E50" s="1356"/>
      <c r="F50" s="1393"/>
    </row>
    <row r="51" spans="1:6">
      <c r="A51" s="1353"/>
      <c r="B51" s="1361"/>
      <c r="C51" s="1396"/>
      <c r="D51" s="1396"/>
      <c r="E51" s="1397"/>
      <c r="F51" s="1391"/>
    </row>
    <row r="52" spans="1:6">
      <c r="A52" s="1353"/>
      <c r="B52" s="1361"/>
      <c r="C52" s="1355"/>
      <c r="D52" s="1362"/>
      <c r="E52" s="1356"/>
      <c r="F52" s="1393"/>
    </row>
    <row r="53" spans="1:6">
      <c r="A53" s="1353"/>
      <c r="B53" s="1361"/>
      <c r="C53" s="1355"/>
      <c r="D53" s="1362"/>
      <c r="E53" s="1356"/>
      <c r="F53" s="1393"/>
    </row>
    <row r="54" spans="1:6">
      <c r="A54" s="1353"/>
      <c r="B54" s="1361"/>
      <c r="C54" s="1355"/>
      <c r="D54" s="1362"/>
      <c r="E54" s="1356"/>
      <c r="F54" s="1398"/>
    </row>
    <row r="55" spans="1:6">
      <c r="A55" s="1353"/>
      <c r="B55" s="1361"/>
      <c r="C55" s="1355"/>
      <c r="D55" s="1362"/>
      <c r="E55" s="1356"/>
      <c r="F55" s="1393"/>
    </row>
    <row r="56" spans="1:6">
      <c r="A56" s="1353"/>
      <c r="B56" s="1361"/>
      <c r="C56" s="1355"/>
      <c r="D56" s="1362"/>
      <c r="E56" s="1356"/>
      <c r="F56" s="1393"/>
    </row>
    <row r="57" spans="1:6" s="1404" customFormat="1">
      <c r="A57" s="1399"/>
      <c r="B57" s="1400"/>
      <c r="C57" s="1401"/>
      <c r="D57" s="1401"/>
      <c r="E57" s="1402"/>
      <c r="F57" s="1403"/>
    </row>
    <row r="58" spans="1:6" s="1346" customFormat="1" ht="15" customHeight="1">
      <c r="A58" s="1405">
        <v>2100</v>
      </c>
      <c r="B58" s="1372" t="s">
        <v>1417</v>
      </c>
      <c r="C58" s="1373"/>
      <c r="D58" s="1406"/>
      <c r="E58" s="1407"/>
      <c r="F58" s="1408"/>
    </row>
    <row r="59" spans="1:6">
      <c r="C59" s="1335"/>
    </row>
    <row r="111" spans="4:6" ht="15" customHeight="1">
      <c r="D111" s="1337"/>
      <c r="E111" s="1337"/>
      <c r="F111" s="1410"/>
    </row>
    <row r="112" spans="4:6" ht="15" customHeight="1">
      <c r="D112" s="1337"/>
      <c r="E112" s="1337"/>
      <c r="F112" s="1410"/>
    </row>
    <row r="113" spans="4:6" ht="15" customHeight="1">
      <c r="D113" s="1337"/>
      <c r="E113" s="1337"/>
      <c r="F113" s="1410"/>
    </row>
    <row r="114" spans="4:6" ht="15" customHeight="1">
      <c r="D114" s="1337"/>
      <c r="E114" s="1337"/>
      <c r="F114" s="1410"/>
    </row>
    <row r="115" spans="4:6" ht="15" customHeight="1">
      <c r="D115" s="1337"/>
      <c r="E115" s="1337"/>
      <c r="F115" s="1410"/>
    </row>
    <row r="116" spans="4:6">
      <c r="D116" s="1337"/>
      <c r="E116" s="1337"/>
      <c r="F116" s="1410"/>
    </row>
    <row r="156" spans="4:6">
      <c r="D156" s="1337"/>
      <c r="E156" s="1337"/>
      <c r="F156" s="1410"/>
    </row>
    <row r="202" spans="1:6" s="1338" customFormat="1">
      <c r="A202" s="1337"/>
      <c r="B202" s="1409"/>
      <c r="C202" s="1337"/>
      <c r="D202" s="1382"/>
      <c r="E202" s="1377"/>
      <c r="F202" s="1383"/>
    </row>
    <row r="203" spans="1:6" s="1338" customFormat="1">
      <c r="B203" s="1381"/>
      <c r="F203" s="1411"/>
    </row>
    <row r="204" spans="1:6" s="1338" customFormat="1">
      <c r="B204" s="1381"/>
      <c r="F204" s="1411"/>
    </row>
    <row r="205" spans="1:6" s="1338" customFormat="1">
      <c r="B205" s="1381"/>
      <c r="F205" s="1411"/>
    </row>
    <row r="206" spans="1:6" s="1338" customFormat="1">
      <c r="B206" s="1381"/>
      <c r="F206" s="1411"/>
    </row>
    <row r="207" spans="1:6" s="1338" customFormat="1">
      <c r="B207" s="1381"/>
      <c r="F207" s="1411"/>
    </row>
    <row r="208" spans="1:6" s="1338" customFormat="1">
      <c r="B208" s="1381"/>
      <c r="F208" s="1411"/>
    </row>
    <row r="209" spans="1:6" s="1338" customFormat="1">
      <c r="B209" s="1381"/>
      <c r="F209" s="1411"/>
    </row>
    <row r="210" spans="1:6" s="1338" customFormat="1">
      <c r="B210" s="1381"/>
      <c r="F210" s="1411"/>
    </row>
    <row r="211" spans="1:6">
      <c r="A211" s="1338"/>
      <c r="B211" s="1381"/>
      <c r="C211" s="1338"/>
      <c r="D211" s="1338"/>
      <c r="E211" s="1338"/>
      <c r="F211" s="1411"/>
    </row>
    <row r="259" spans="4:6">
      <c r="D259" s="1337"/>
      <c r="E259" s="1337"/>
      <c r="F259" s="1410"/>
    </row>
    <row r="316" spans="4:6">
      <c r="D316" s="1337"/>
      <c r="E316" s="1337"/>
      <c r="F316" s="1410"/>
    </row>
  </sheetData>
  <mergeCells count="2">
    <mergeCell ref="D7:F7"/>
    <mergeCell ref="A2:B2"/>
  </mergeCells>
  <pageMargins left="0.94488188976377963" right="0.35433070866141736" top="0.78740157480314965" bottom="0.78740157480314965" header="0.51181102362204722" footer="0.51181102362204722"/>
  <pageSetup paperSize="9" scale="90" orientation="portrait" r:id="rId1"/>
  <headerFooter alignWithMargins="0">
    <oddHeader>&amp;CC80.17</oddHeader>
  </headerFooter>
  <rowBreaks count="4" manualBreakCount="4">
    <brk id="111" max="5" man="1"/>
    <brk id="156" max="5" man="1"/>
    <brk id="203" max="5" man="1"/>
    <brk id="259"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topLeftCell="A13" zoomScaleNormal="80" zoomScaleSheetLayoutView="100" workbookViewId="0">
      <selection activeCell="F37" sqref="F37"/>
    </sheetView>
  </sheetViews>
  <sheetFormatPr defaultColWidth="8.88671875" defaultRowHeight="13.2"/>
  <cols>
    <col min="1" max="1" width="10.33203125" style="1412" customWidth="1"/>
    <col min="2" max="2" width="38.88671875" style="1412" customWidth="1"/>
    <col min="3" max="3" width="8.88671875" style="1438"/>
    <col min="4" max="4" width="11.5546875" style="1438" bestFit="1" customWidth="1"/>
    <col min="5" max="5" width="14.6640625" style="1461" customWidth="1"/>
    <col min="6" max="6" width="19.109375" style="1461" customWidth="1"/>
    <col min="7" max="16384" width="8.88671875" style="1412"/>
  </cols>
  <sheetData>
    <row r="1" spans="1:6">
      <c r="A1" s="2028" t="str">
        <f>+'2100'!A1</f>
        <v>GREATER LETABA MUNICIPALITY</v>
      </c>
      <c r="B1" s="1334"/>
      <c r="C1" s="1335"/>
      <c r="D1" s="1335"/>
      <c r="E1" s="1335"/>
      <c r="F1" s="1379"/>
    </row>
    <row r="2" spans="1:6">
      <c r="A2" s="2208" t="str">
        <f>+'2100'!A2</f>
        <v>CONTRACT NUMBER: GLM015/2025</v>
      </c>
      <c r="B2" s="2208"/>
      <c r="C2" s="1335"/>
      <c r="D2" s="1335"/>
      <c r="E2" s="1335"/>
      <c r="F2" s="1380"/>
    </row>
    <row r="3" spans="1:6" ht="17.399999999999999" customHeight="1">
      <c r="A3" s="1338" t="s">
        <v>1439</v>
      </c>
      <c r="B3" s="1381"/>
      <c r="C3" s="1337"/>
      <c r="D3" s="1382"/>
      <c r="E3" s="1377"/>
      <c r="F3" s="1383"/>
    </row>
    <row r="4" spans="1:6">
      <c r="A4" s="1339" t="s">
        <v>1464</v>
      </c>
      <c r="B4" s="1337"/>
      <c r="C4" s="1337"/>
      <c r="D4" s="1382"/>
      <c r="E4" s="1377"/>
      <c r="F4" s="1383"/>
    </row>
    <row r="5" spans="1:6" ht="13.8" thickBot="1">
      <c r="A5" s="1339" t="str">
        <f>+B8</f>
        <v>PREFABRICATED CULVERTS</v>
      </c>
      <c r="B5" s="1337"/>
      <c r="C5" s="1337"/>
      <c r="D5" s="1382"/>
      <c r="E5" s="1377"/>
      <c r="F5" s="1384"/>
    </row>
    <row r="6" spans="1:6">
      <c r="A6" s="1413" t="s">
        <v>1465</v>
      </c>
      <c r="B6" s="1414" t="s">
        <v>2</v>
      </c>
      <c r="C6" s="1414" t="s">
        <v>3</v>
      </c>
      <c r="D6" s="1414" t="s">
        <v>1466</v>
      </c>
      <c r="E6" s="1415" t="s">
        <v>5</v>
      </c>
      <c r="F6" s="1416" t="s">
        <v>1467</v>
      </c>
    </row>
    <row r="7" spans="1:6" ht="27" customHeight="1">
      <c r="A7" s="1417"/>
      <c r="B7" s="1418"/>
      <c r="C7" s="1419"/>
      <c r="D7" s="1420"/>
      <c r="E7" s="1421"/>
      <c r="F7" s="1422"/>
    </row>
    <row r="8" spans="1:6" ht="24">
      <c r="A8" s="1423" t="s">
        <v>1468</v>
      </c>
      <c r="B8" s="1424" t="s">
        <v>1469</v>
      </c>
      <c r="C8" s="1425"/>
      <c r="D8" s="1426"/>
      <c r="E8" s="1427"/>
      <c r="F8" s="1428"/>
    </row>
    <row r="9" spans="1:6">
      <c r="A9" s="1429"/>
      <c r="B9" s="1430"/>
      <c r="C9" s="1431"/>
      <c r="D9" s="1432"/>
      <c r="E9" s="1433"/>
      <c r="F9" s="1434"/>
    </row>
    <row r="10" spans="1:6">
      <c r="A10" s="1435">
        <v>22.01</v>
      </c>
      <c r="B10" s="1424" t="s">
        <v>1470</v>
      </c>
      <c r="C10" s="1432"/>
      <c r="D10" s="1432"/>
      <c r="E10" s="1433"/>
      <c r="F10" s="1434"/>
    </row>
    <row r="11" spans="1:6" s="1438" customFormat="1">
      <c r="A11" s="1436"/>
      <c r="B11" s="1437"/>
      <c r="C11" s="1432"/>
      <c r="D11" s="1432"/>
      <c r="E11" s="1433"/>
      <c r="F11" s="1434"/>
    </row>
    <row r="12" spans="1:6" ht="22.8">
      <c r="A12" s="1436" t="s">
        <v>1180</v>
      </c>
      <c r="B12" s="1437" t="s">
        <v>1471</v>
      </c>
      <c r="C12" s="1432"/>
      <c r="D12" s="1432"/>
      <c r="E12" s="1433"/>
      <c r="F12" s="1434"/>
    </row>
    <row r="13" spans="1:6">
      <c r="A13" s="1436"/>
      <c r="B13" s="1437"/>
      <c r="C13" s="1432"/>
      <c r="D13" s="1432"/>
      <c r="E13" s="1433"/>
      <c r="F13" s="1434"/>
    </row>
    <row r="14" spans="1:6">
      <c r="A14" s="1436" t="s">
        <v>1472</v>
      </c>
      <c r="B14" s="1437" t="s">
        <v>1473</v>
      </c>
      <c r="C14" s="1439" t="s">
        <v>60</v>
      </c>
      <c r="D14" s="1440">
        <f>((1.6*1.35*15)+(2.2*1.95*50))*2</f>
        <v>493.8</v>
      </c>
      <c r="E14" s="1441"/>
      <c r="F14" s="1428"/>
    </row>
    <row r="15" spans="1:6">
      <c r="A15" s="1436"/>
      <c r="B15" s="1437"/>
      <c r="C15" s="1442"/>
      <c r="D15" s="1440"/>
      <c r="E15" s="1427"/>
      <c r="F15" s="1443"/>
    </row>
    <row r="16" spans="1:6">
      <c r="A16" s="1436" t="s">
        <v>1474</v>
      </c>
      <c r="B16" s="1444" t="s">
        <v>1475</v>
      </c>
      <c r="C16" s="1442" t="s">
        <v>60</v>
      </c>
      <c r="D16" s="1440">
        <f>D14/2</f>
        <v>246.9</v>
      </c>
      <c r="E16" s="1441"/>
      <c r="F16" s="1443"/>
    </row>
    <row r="17" spans="1:6">
      <c r="A17" s="1436"/>
      <c r="B17" s="1437"/>
      <c r="C17" s="1442"/>
      <c r="D17" s="1440"/>
      <c r="E17" s="1427"/>
      <c r="F17" s="1443"/>
    </row>
    <row r="18" spans="1:6">
      <c r="A18" s="1435" t="s">
        <v>1476</v>
      </c>
      <c r="B18" s="1424" t="s">
        <v>1477</v>
      </c>
      <c r="C18" s="1442"/>
      <c r="D18" s="1440"/>
      <c r="E18" s="1427"/>
      <c r="F18" s="1443"/>
    </row>
    <row r="19" spans="1:6">
      <c r="A19" s="1436"/>
      <c r="B19" s="1437"/>
      <c r="C19" s="1425"/>
      <c r="D19" s="1440"/>
      <c r="E19" s="1427"/>
      <c r="F19" s="1443"/>
    </row>
    <row r="20" spans="1:6">
      <c r="A20" s="1436" t="s">
        <v>1180</v>
      </c>
      <c r="B20" s="1437" t="s">
        <v>1478</v>
      </c>
      <c r="C20" s="1442" t="s">
        <v>60</v>
      </c>
      <c r="D20" s="1445">
        <f>(186.14*2)</f>
        <v>372.28</v>
      </c>
      <c r="E20" s="1427"/>
      <c r="F20" s="1443"/>
    </row>
    <row r="21" spans="1:6">
      <c r="A21" s="1436"/>
      <c r="B21" s="1437"/>
      <c r="C21" s="1442"/>
      <c r="D21" s="1440"/>
      <c r="E21" s="1427"/>
      <c r="F21" s="1443"/>
    </row>
    <row r="22" spans="1:6">
      <c r="A22" s="1436" t="s">
        <v>1195</v>
      </c>
      <c r="B22" s="1437" t="s">
        <v>1479</v>
      </c>
      <c r="C22" s="1442" t="s">
        <v>60</v>
      </c>
      <c r="D22" s="1445">
        <f>D20</f>
        <v>372.28</v>
      </c>
      <c r="E22" s="1427"/>
      <c r="F22" s="1443"/>
    </row>
    <row r="23" spans="1:6">
      <c r="A23" s="1436"/>
      <c r="B23" s="1437"/>
      <c r="C23" s="1442"/>
      <c r="D23" s="1440"/>
      <c r="E23" s="1446"/>
      <c r="F23" s="1443"/>
    </row>
    <row r="24" spans="1:6">
      <c r="A24" s="1447">
        <v>22.03</v>
      </c>
      <c r="B24" s="1448" t="s">
        <v>1480</v>
      </c>
      <c r="C24" s="1442"/>
      <c r="D24" s="1426"/>
      <c r="E24" s="1446"/>
      <c r="F24" s="1443"/>
    </row>
    <row r="25" spans="1:6">
      <c r="A25" s="1435"/>
      <c r="B25" s="1449"/>
      <c r="C25" s="1442"/>
      <c r="D25" s="1426"/>
      <c r="E25" s="1446"/>
      <c r="F25" s="1443"/>
    </row>
    <row r="26" spans="1:6">
      <c r="A26" s="1447">
        <v>22.03</v>
      </c>
      <c r="B26" s="1448" t="s">
        <v>1480</v>
      </c>
      <c r="C26" s="1442"/>
      <c r="D26" s="1426"/>
      <c r="E26" s="1446"/>
      <c r="F26" s="1443"/>
    </row>
    <row r="27" spans="1:6">
      <c r="A27" s="1435"/>
      <c r="B27" s="1449"/>
      <c r="C27" s="1442"/>
      <c r="D27" s="1426"/>
      <c r="E27" s="1446"/>
      <c r="F27" s="1443"/>
    </row>
    <row r="28" spans="1:6">
      <c r="A28" s="1450"/>
      <c r="B28" s="1449"/>
      <c r="C28" s="1442"/>
      <c r="D28" s="1426"/>
      <c r="E28" s="1446"/>
      <c r="F28" s="1443"/>
    </row>
    <row r="29" spans="1:6">
      <c r="A29" s="1435" t="s">
        <v>1015</v>
      </c>
      <c r="B29" s="1449" t="s">
        <v>1481</v>
      </c>
      <c r="C29" s="1442" t="s">
        <v>136</v>
      </c>
      <c r="D29" s="1426">
        <v>24</v>
      </c>
      <c r="E29" s="1446"/>
      <c r="F29" s="1443"/>
    </row>
    <row r="30" spans="1:6">
      <c r="A30" s="1435"/>
      <c r="B30" s="1449" t="s">
        <v>1482</v>
      </c>
      <c r="C30" s="1442"/>
      <c r="D30" s="1426"/>
      <c r="E30" s="1446"/>
      <c r="F30" s="1443"/>
    </row>
    <row r="31" spans="1:6">
      <c r="A31" s="1435"/>
      <c r="B31" s="1449"/>
      <c r="C31" s="1442"/>
      <c r="D31" s="1426"/>
      <c r="E31" s="1446"/>
      <c r="F31" s="1443"/>
    </row>
    <row r="32" spans="1:6">
      <c r="A32" s="1435"/>
      <c r="B32" s="1449" t="s">
        <v>1483</v>
      </c>
      <c r="C32" s="1442" t="s">
        <v>136</v>
      </c>
      <c r="D32" s="1426">
        <v>60</v>
      </c>
      <c r="E32" s="1446"/>
      <c r="F32" s="1443"/>
    </row>
    <row r="33" spans="1:6">
      <c r="A33" s="1435"/>
      <c r="B33" s="1449" t="s">
        <v>1482</v>
      </c>
      <c r="C33" s="1442"/>
      <c r="D33" s="1426"/>
      <c r="E33" s="1446"/>
      <c r="F33" s="1443"/>
    </row>
    <row r="34" spans="1:6">
      <c r="A34" s="1435"/>
      <c r="B34" s="1449"/>
      <c r="C34" s="1442"/>
      <c r="D34" s="1426"/>
      <c r="E34" s="1446"/>
      <c r="F34" s="1443"/>
    </row>
    <row r="35" spans="1:6">
      <c r="A35" s="1451"/>
      <c r="B35" s="1437"/>
      <c r="C35" s="1442"/>
      <c r="D35" s="1426"/>
      <c r="E35" s="1446"/>
      <c r="F35" s="1443"/>
    </row>
    <row r="36" spans="1:6">
      <c r="A36" s="1452"/>
      <c r="B36" s="1453"/>
      <c r="C36" s="1454"/>
      <c r="D36" s="1455"/>
      <c r="E36" s="1456"/>
      <c r="F36" s="1457"/>
    </row>
    <row r="37" spans="1:6" ht="13.8" thickBot="1">
      <c r="A37" s="1458">
        <v>2200</v>
      </c>
      <c r="B37" s="2209" t="s">
        <v>1417</v>
      </c>
      <c r="C37" s="2210"/>
      <c r="D37" s="2210"/>
      <c r="E37" s="2211"/>
      <c r="F37" s="1459"/>
    </row>
    <row r="38" spans="1:6">
      <c r="C38" s="1460"/>
    </row>
  </sheetData>
  <mergeCells count="2">
    <mergeCell ref="B37:E37"/>
    <mergeCell ref="A2:B2"/>
  </mergeCells>
  <pageMargins left="0.70866141732283472" right="0.70866141732283472" top="0.74803149606299213" bottom="0.74803149606299213" header="0.31496062992125984" footer="0.31496062992125984"/>
  <pageSetup paperSize="9" scale="84" orientation="portrait" r:id="rId1"/>
  <headerFooter>
    <oddHeader>&amp;CC80.18</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3"/>
  <sheetViews>
    <sheetView view="pageBreakPreview" zoomScale="90" zoomScaleNormal="100" zoomScaleSheetLayoutView="90" workbookViewId="0">
      <pane ySplit="8" topLeftCell="A9" activePane="bottomLeft" state="frozen"/>
      <selection activeCell="H47" sqref="H47"/>
      <selection pane="bottomLeft" activeCell="H52" sqref="H52"/>
    </sheetView>
  </sheetViews>
  <sheetFormatPr defaultColWidth="9.109375" defaultRowHeight="13.2"/>
  <cols>
    <col min="1" max="1" width="8.33203125" style="1337" customWidth="1"/>
    <col min="2" max="2" width="50.44140625" style="1409" customWidth="1"/>
    <col min="3" max="3" width="9.33203125" style="1337" customWidth="1"/>
    <col min="4" max="4" width="10.6640625" style="1382" customWidth="1"/>
    <col min="5" max="5" width="13.33203125" style="1377" customWidth="1"/>
    <col min="6" max="6" width="21.33203125" style="1382" customWidth="1"/>
    <col min="7" max="16384" width="9.109375" style="1337"/>
  </cols>
  <sheetData>
    <row r="1" spans="1:7" ht="15" customHeight="1">
      <c r="A1" s="2028" t="str">
        <f>+'2200'!A1</f>
        <v>GREATER LETABA MUNICIPALITY</v>
      </c>
      <c r="B1" s="1334"/>
      <c r="C1" s="1335"/>
      <c r="D1" s="1335"/>
      <c r="E1" s="1335"/>
      <c r="F1" s="1336"/>
      <c r="G1" s="1378"/>
    </row>
    <row r="2" spans="1:7" ht="16.2" customHeight="1">
      <c r="A2" s="2208" t="str">
        <f>+'2200'!A2</f>
        <v>CONTRACT NUMBER: GLM015/2025</v>
      </c>
      <c r="B2" s="2208"/>
      <c r="C2" s="1335"/>
      <c r="D2" s="1335"/>
      <c r="E2" s="1335"/>
      <c r="F2" s="1335"/>
      <c r="G2" s="1378"/>
    </row>
    <row r="3" spans="1:7" ht="15" customHeight="1">
      <c r="A3" s="1338" t="s">
        <v>1439</v>
      </c>
      <c r="B3" s="1381"/>
    </row>
    <row r="4" spans="1:7" ht="15" customHeight="1">
      <c r="A4" s="1339" t="s">
        <v>1484</v>
      </c>
      <c r="B4" s="1337"/>
    </row>
    <row r="5" spans="1:7" ht="15" customHeight="1">
      <c r="A5" s="1339" t="s">
        <v>1485</v>
      </c>
      <c r="B5" s="1337"/>
      <c r="F5" s="1462"/>
    </row>
    <row r="6" spans="1:7" ht="5.0999999999999996" customHeight="1">
      <c r="A6" s="1340"/>
      <c r="B6" s="1340"/>
      <c r="C6" s="1338"/>
      <c r="D6" s="1338"/>
      <c r="E6" s="1341"/>
      <c r="F6" s="1342"/>
      <c r="G6" s="1463"/>
    </row>
    <row r="7" spans="1:7">
      <c r="A7" s="1338"/>
      <c r="B7" s="1340"/>
      <c r="C7" s="1338"/>
      <c r="D7" s="2205"/>
      <c r="E7" s="2206"/>
      <c r="F7" s="2207"/>
    </row>
    <row r="8" spans="1:7" s="1346" customFormat="1" ht="15" customHeight="1">
      <c r="A8" s="1343" t="s">
        <v>0</v>
      </c>
      <c r="B8" s="1343" t="s">
        <v>2</v>
      </c>
      <c r="C8" s="1343" t="s">
        <v>3</v>
      </c>
      <c r="D8" s="1343" t="s">
        <v>4</v>
      </c>
      <c r="E8" s="1344" t="s">
        <v>5</v>
      </c>
      <c r="F8" s="1345" t="s">
        <v>6</v>
      </c>
    </row>
    <row r="9" spans="1:7">
      <c r="A9" s="1387"/>
      <c r="B9" s="1388"/>
      <c r="C9" s="1387"/>
      <c r="D9" s="1387"/>
      <c r="E9" s="1389"/>
      <c r="F9" s="1464"/>
    </row>
    <row r="10" spans="1:7">
      <c r="A10" s="1465">
        <v>2300</v>
      </c>
      <c r="B10" s="1466" t="s">
        <v>1486</v>
      </c>
      <c r="C10" s="1467"/>
      <c r="D10" s="1468"/>
      <c r="E10" s="1469"/>
      <c r="F10" s="1356"/>
    </row>
    <row r="11" spans="1:7">
      <c r="A11" s="1470"/>
      <c r="B11" s="1466" t="s">
        <v>1487</v>
      </c>
      <c r="C11" s="1467"/>
      <c r="D11" s="1468"/>
      <c r="E11" s="1469"/>
      <c r="F11" s="1356"/>
    </row>
    <row r="12" spans="1:7">
      <c r="A12" s="1470"/>
      <c r="B12" s="1466" t="s">
        <v>1488</v>
      </c>
      <c r="C12" s="1467"/>
      <c r="D12" s="1468"/>
      <c r="E12" s="1469"/>
      <c r="F12" s="1356"/>
    </row>
    <row r="13" spans="1:7">
      <c r="A13" s="1470"/>
      <c r="B13" s="1466" t="s">
        <v>1489</v>
      </c>
      <c r="C13" s="1471"/>
      <c r="D13" s="1468"/>
      <c r="E13" s="1469"/>
      <c r="F13" s="1356"/>
    </row>
    <row r="14" spans="1:7">
      <c r="A14" s="1470"/>
      <c r="B14" s="1467"/>
      <c r="C14" s="1467"/>
      <c r="D14" s="1468"/>
      <c r="E14" s="1469"/>
      <c r="F14" s="1356"/>
    </row>
    <row r="15" spans="1:7">
      <c r="A15" s="1472">
        <v>23.01</v>
      </c>
      <c r="B15" s="1473" t="s">
        <v>1490</v>
      </c>
      <c r="C15" s="1471"/>
      <c r="D15" s="1468"/>
      <c r="E15" s="1469"/>
      <c r="F15" s="1474"/>
    </row>
    <row r="16" spans="1:7">
      <c r="A16" s="1475"/>
      <c r="B16" s="1467"/>
      <c r="C16" s="1471"/>
      <c r="D16" s="1468"/>
      <c r="E16" s="1469"/>
      <c r="F16" s="1474"/>
    </row>
    <row r="17" spans="1:6">
      <c r="A17" s="1475" t="s">
        <v>1015</v>
      </c>
      <c r="B17" s="1473" t="s">
        <v>1491</v>
      </c>
      <c r="C17" s="1471"/>
      <c r="D17" s="1468"/>
      <c r="E17" s="1469"/>
      <c r="F17" s="1474"/>
    </row>
    <row r="18" spans="1:6">
      <c r="A18" s="1475"/>
      <c r="B18" s="1473"/>
      <c r="C18" s="1471"/>
      <c r="D18" s="1468"/>
      <c r="E18" s="1469"/>
      <c r="F18" s="1474"/>
    </row>
    <row r="19" spans="1:6">
      <c r="A19" s="1475"/>
      <c r="B19" s="1467" t="s">
        <v>1492</v>
      </c>
      <c r="C19" s="1471" t="s">
        <v>136</v>
      </c>
      <c r="D19" s="1364">
        <f>302+2000-302</f>
        <v>2000</v>
      </c>
      <c r="E19" s="1469"/>
      <c r="F19" s="1474"/>
    </row>
    <row r="20" spans="1:6">
      <c r="A20" s="1475"/>
      <c r="B20" s="1473"/>
      <c r="C20" s="1476"/>
      <c r="D20" s="1364"/>
      <c r="E20" s="1469"/>
      <c r="F20" s="1474"/>
    </row>
    <row r="21" spans="1:6">
      <c r="A21" s="1475">
        <v>23.02</v>
      </c>
      <c r="B21" s="1477" t="s">
        <v>1493</v>
      </c>
      <c r="C21" s="1471"/>
      <c r="D21" s="1468"/>
      <c r="E21" s="1469"/>
      <c r="F21" s="1474"/>
    </row>
    <row r="22" spans="1:6">
      <c r="A22" s="1472"/>
      <c r="B22" s="1477"/>
      <c r="C22" s="1471"/>
      <c r="D22" s="1468"/>
      <c r="E22" s="1469"/>
      <c r="F22" s="1474"/>
    </row>
    <row r="23" spans="1:6">
      <c r="A23" s="1475"/>
      <c r="B23" s="1477" t="s">
        <v>1494</v>
      </c>
      <c r="C23" s="1471"/>
      <c r="D23" s="1468"/>
      <c r="E23" s="1469"/>
      <c r="F23" s="1474"/>
    </row>
    <row r="24" spans="1:6">
      <c r="A24" s="1470"/>
      <c r="B24" s="1477"/>
      <c r="C24" s="1476"/>
      <c r="D24" s="1364"/>
      <c r="E24" s="1469"/>
      <c r="F24" s="1474"/>
    </row>
    <row r="25" spans="1:6">
      <c r="A25" s="1470"/>
      <c r="B25" s="1477" t="s">
        <v>1495</v>
      </c>
      <c r="C25" s="1471" t="s">
        <v>136</v>
      </c>
      <c r="D25" s="1468">
        <v>302</v>
      </c>
      <c r="E25" s="1469"/>
      <c r="F25" s="1474"/>
    </row>
    <row r="26" spans="1:6">
      <c r="A26" s="1478"/>
      <c r="B26" s="1477"/>
      <c r="C26" s="1479"/>
      <c r="D26" s="1480"/>
      <c r="E26" s="1481"/>
      <c r="F26" s="1474"/>
    </row>
    <row r="27" spans="1:6">
      <c r="A27" s="1482" t="s">
        <v>1496</v>
      </c>
      <c r="B27" s="1477" t="s">
        <v>1497</v>
      </c>
      <c r="C27" s="1483"/>
      <c r="D27" s="1484"/>
      <c r="E27" s="1481"/>
      <c r="F27" s="1474"/>
    </row>
    <row r="28" spans="1:6">
      <c r="A28" s="1478"/>
      <c r="B28" s="1477" t="s">
        <v>1498</v>
      </c>
      <c r="C28" s="1483"/>
      <c r="D28" s="1484"/>
      <c r="E28" s="1481"/>
      <c r="F28" s="1474"/>
    </row>
    <row r="29" spans="1:6">
      <c r="A29" s="1478"/>
      <c r="B29" s="1477"/>
      <c r="C29" s="1483"/>
      <c r="D29" s="1484"/>
      <c r="E29" s="1481"/>
      <c r="F29" s="1474"/>
    </row>
    <row r="30" spans="1:6">
      <c r="A30" s="1485" t="s">
        <v>1180</v>
      </c>
      <c r="B30" s="1477" t="s">
        <v>1499</v>
      </c>
      <c r="C30" s="1483" t="s">
        <v>877</v>
      </c>
      <c r="D30" s="1484">
        <f>1500*1.5</f>
        <v>2250</v>
      </c>
      <c r="E30" s="1481"/>
      <c r="F30" s="1474"/>
    </row>
    <row r="31" spans="1:6">
      <c r="A31" s="1485" t="s">
        <v>1195</v>
      </c>
      <c r="B31" s="1477" t="s">
        <v>1500</v>
      </c>
      <c r="C31" s="1483" t="s">
        <v>877</v>
      </c>
      <c r="D31" s="1484">
        <f>(D30)*0.1</f>
        <v>225</v>
      </c>
      <c r="E31" s="1481"/>
      <c r="F31" s="1474"/>
    </row>
    <row r="32" spans="1:6">
      <c r="A32" s="1485"/>
      <c r="B32" s="1477"/>
      <c r="C32" s="1483"/>
      <c r="D32" s="1484"/>
      <c r="E32" s="1481"/>
      <c r="F32" s="1474"/>
    </row>
    <row r="33" spans="1:6">
      <c r="A33" s="1482" t="s">
        <v>1501</v>
      </c>
      <c r="B33" s="1477" t="s">
        <v>1502</v>
      </c>
      <c r="C33" s="1483"/>
      <c r="D33" s="1484"/>
      <c r="E33" s="1481"/>
      <c r="F33" s="1474"/>
    </row>
    <row r="34" spans="1:6">
      <c r="A34" s="1478" t="s">
        <v>1015</v>
      </c>
      <c r="B34" s="1477"/>
      <c r="C34" s="1483"/>
      <c r="D34" s="1484"/>
      <c r="E34" s="1481"/>
      <c r="F34" s="1474"/>
    </row>
    <row r="35" spans="1:6">
      <c r="A35" s="1485" t="s">
        <v>1180</v>
      </c>
      <c r="B35" s="1477" t="s">
        <v>1503</v>
      </c>
      <c r="C35" s="1483"/>
      <c r="D35" s="1484"/>
      <c r="E35" s="1481"/>
      <c r="F35" s="1474"/>
    </row>
    <row r="36" spans="1:6">
      <c r="A36" s="1485"/>
      <c r="B36" s="1477" t="s">
        <v>1504</v>
      </c>
      <c r="C36" s="1483" t="s">
        <v>60</v>
      </c>
      <c r="D36" s="1486">
        <f>6*5</f>
        <v>30</v>
      </c>
      <c r="E36" s="1481"/>
      <c r="F36" s="1474"/>
    </row>
    <row r="37" spans="1:6">
      <c r="A37" s="1485" t="s">
        <v>1195</v>
      </c>
      <c r="B37" s="1477" t="s">
        <v>1505</v>
      </c>
      <c r="C37" s="1483"/>
      <c r="D37" s="1484"/>
      <c r="E37" s="1481"/>
      <c r="F37" s="1474"/>
    </row>
    <row r="38" spans="1:6">
      <c r="A38" s="1478"/>
      <c r="B38" s="1477" t="s">
        <v>1506</v>
      </c>
      <c r="C38" s="1483" t="s">
        <v>877</v>
      </c>
      <c r="D38" s="1484">
        <f>D36/0.1</f>
        <v>300</v>
      </c>
      <c r="E38" s="1481"/>
      <c r="F38" s="1474"/>
    </row>
    <row r="39" spans="1:6">
      <c r="A39" s="1482" t="s">
        <v>1015</v>
      </c>
      <c r="B39" s="1477"/>
      <c r="C39" s="1483"/>
      <c r="D39" s="1484"/>
      <c r="E39" s="1481"/>
      <c r="F39" s="1474"/>
    </row>
    <row r="40" spans="1:6">
      <c r="A40" s="1482" t="s">
        <v>1507</v>
      </c>
      <c r="B40" s="1477" t="s">
        <v>1508</v>
      </c>
      <c r="C40" s="1483"/>
      <c r="D40" s="1484"/>
      <c r="E40" s="1481"/>
      <c r="F40" s="1474"/>
    </row>
    <row r="41" spans="1:6">
      <c r="A41" s="1478"/>
      <c r="B41" s="1477" t="s">
        <v>1509</v>
      </c>
      <c r="C41" s="1483"/>
      <c r="D41" s="1484"/>
      <c r="E41" s="1481"/>
      <c r="F41" s="1474"/>
    </row>
    <row r="42" spans="1:6">
      <c r="A42" s="1487"/>
      <c r="B42" s="1487"/>
      <c r="C42" s="1483"/>
      <c r="D42" s="1484"/>
      <c r="E42" s="1481"/>
      <c r="F42" s="1474"/>
    </row>
    <row r="43" spans="1:6">
      <c r="A43" s="1485" t="s">
        <v>1180</v>
      </c>
      <c r="B43" s="1477" t="s">
        <v>1510</v>
      </c>
      <c r="C43" s="1483" t="s">
        <v>877</v>
      </c>
      <c r="D43" s="1484">
        <f>300</f>
        <v>300</v>
      </c>
      <c r="E43" s="1481"/>
      <c r="F43" s="1474"/>
    </row>
    <row r="44" spans="1:6">
      <c r="A44" s="1485" t="s">
        <v>1195</v>
      </c>
      <c r="B44" s="1477" t="s">
        <v>1511</v>
      </c>
      <c r="C44" s="1483" t="s">
        <v>877</v>
      </c>
      <c r="D44" s="1488">
        <f>(300*2)+(1.5*2)</f>
        <v>603</v>
      </c>
      <c r="E44" s="1481"/>
      <c r="F44" s="1474"/>
    </row>
    <row r="45" spans="1:6">
      <c r="A45" s="1478"/>
      <c r="B45" s="1477" t="s">
        <v>1512</v>
      </c>
      <c r="C45" s="1483"/>
      <c r="D45" s="1484"/>
      <c r="E45" s="1481"/>
      <c r="F45" s="1474"/>
    </row>
    <row r="46" spans="1:6">
      <c r="A46" s="1478"/>
      <c r="B46" s="1477" t="s">
        <v>1513</v>
      </c>
      <c r="C46" s="1489"/>
      <c r="D46" s="1484"/>
      <c r="E46" s="1480"/>
      <c r="F46" s="1481"/>
    </row>
    <row r="47" spans="1:6">
      <c r="A47" s="1490" t="s">
        <v>1015</v>
      </c>
      <c r="B47" s="1477"/>
      <c r="C47" s="1489"/>
      <c r="D47" s="1484"/>
      <c r="E47" s="1480"/>
      <c r="F47" s="1481"/>
    </row>
    <row r="48" spans="1:6">
      <c r="A48" s="1353">
        <v>23.1</v>
      </c>
      <c r="B48" s="1477" t="s">
        <v>1514</v>
      </c>
      <c r="C48" s="1355"/>
      <c r="D48" s="1396"/>
      <c r="E48" s="1356"/>
      <c r="F48" s="1481"/>
    </row>
    <row r="49" spans="1:6">
      <c r="A49" s="1353"/>
      <c r="B49" s="1477"/>
      <c r="C49" s="1355"/>
      <c r="D49" s="1396"/>
      <c r="E49" s="1356"/>
      <c r="F49" s="1481"/>
    </row>
    <row r="50" spans="1:6">
      <c r="A50" s="1353"/>
      <c r="B50" s="1477" t="s">
        <v>1515</v>
      </c>
      <c r="C50" s="1355" t="s">
        <v>136</v>
      </c>
      <c r="D50" s="1396">
        <v>3</v>
      </c>
      <c r="E50" s="1356"/>
      <c r="F50" s="1481"/>
    </row>
    <row r="51" spans="1:6">
      <c r="A51" s="1353"/>
      <c r="B51" s="1477" t="s">
        <v>1516</v>
      </c>
      <c r="C51" s="1396" t="s">
        <v>136</v>
      </c>
      <c r="D51" s="1396">
        <f>29*1.5</f>
        <v>43.5</v>
      </c>
      <c r="E51" s="1356"/>
      <c r="F51" s="1481"/>
    </row>
    <row r="52" spans="1:6">
      <c r="A52" s="1353"/>
      <c r="B52" s="1477"/>
      <c r="C52" s="1396"/>
      <c r="D52" s="1355"/>
      <c r="E52" s="1356"/>
      <c r="F52" s="1481"/>
    </row>
    <row r="53" spans="1:6" ht="15.6" hidden="1">
      <c r="A53" s="1353"/>
      <c r="B53" s="1477" t="s">
        <v>1517</v>
      </c>
      <c r="C53" s="1396" t="s">
        <v>1462</v>
      </c>
      <c r="D53" s="1355"/>
      <c r="E53" s="1356"/>
      <c r="F53" s="1481"/>
    </row>
    <row r="54" spans="1:6">
      <c r="A54" s="1491">
        <v>23.12</v>
      </c>
      <c r="B54" s="1477" t="s">
        <v>1518</v>
      </c>
      <c r="C54" s="1489"/>
      <c r="D54" s="1492"/>
      <c r="E54" s="1356"/>
      <c r="F54" s="1481"/>
    </row>
    <row r="55" spans="1:6">
      <c r="A55" s="1493" t="s">
        <v>1519</v>
      </c>
      <c r="B55" s="1477" t="s">
        <v>1520</v>
      </c>
      <c r="C55" s="1494" t="s">
        <v>1521</v>
      </c>
      <c r="D55" s="1495">
        <f>(28*0.0056*(300*1.5))+70</f>
        <v>140.56</v>
      </c>
      <c r="E55" s="1356"/>
      <c r="F55" s="1481"/>
    </row>
    <row r="56" spans="1:6">
      <c r="A56" s="1493"/>
      <c r="B56" s="1477"/>
      <c r="C56" s="1494"/>
      <c r="D56" s="1492"/>
      <c r="E56" s="1356"/>
      <c r="F56" s="1481"/>
    </row>
    <row r="57" spans="1:6">
      <c r="A57" s="1496" t="s">
        <v>1522</v>
      </c>
      <c r="B57" s="1477" t="s">
        <v>1523</v>
      </c>
      <c r="C57" s="1484"/>
      <c r="D57" s="1492"/>
      <c r="E57" s="1356"/>
      <c r="F57" s="1481"/>
    </row>
    <row r="58" spans="1:6">
      <c r="A58" s="1496"/>
      <c r="B58" s="1477" t="s">
        <v>1524</v>
      </c>
      <c r="C58" s="1484" t="s">
        <v>877</v>
      </c>
      <c r="D58" s="1492">
        <f>300*1.5</f>
        <v>450</v>
      </c>
      <c r="E58" s="1356"/>
      <c r="F58" s="1481"/>
    </row>
    <row r="59" spans="1:6">
      <c r="A59" s="1496" t="s">
        <v>1015</v>
      </c>
      <c r="B59" s="1477"/>
      <c r="C59" s="1484"/>
      <c r="D59" s="1492"/>
      <c r="E59" s="1356"/>
      <c r="F59" s="1481"/>
    </row>
    <row r="60" spans="1:6">
      <c r="A60" s="1496" t="s">
        <v>1525</v>
      </c>
      <c r="B60" s="1477" t="s">
        <v>1526</v>
      </c>
      <c r="C60" s="1497"/>
      <c r="D60" s="1492"/>
      <c r="E60" s="1356"/>
      <c r="F60" s="1481"/>
    </row>
    <row r="61" spans="1:6">
      <c r="A61" s="1496"/>
      <c r="B61" s="1477" t="s">
        <v>1527</v>
      </c>
      <c r="C61" s="1484"/>
      <c r="D61" s="1492"/>
      <c r="E61" s="1356"/>
      <c r="F61" s="1481"/>
    </row>
    <row r="62" spans="1:6">
      <c r="A62" s="1496"/>
      <c r="B62" s="1477" t="s">
        <v>1528</v>
      </c>
      <c r="C62" s="1484" t="s">
        <v>136</v>
      </c>
      <c r="D62" s="1492">
        <f>D19+D25</f>
        <v>2302</v>
      </c>
      <c r="E62" s="1356"/>
      <c r="F62" s="1481"/>
    </row>
    <row r="63" spans="1:6">
      <c r="A63" s="1353"/>
      <c r="B63" s="1361"/>
      <c r="C63" s="1355"/>
      <c r="D63" s="1396"/>
      <c r="E63" s="1356"/>
      <c r="F63" s="1356"/>
    </row>
    <row r="64" spans="1:6" s="1404" customFormat="1">
      <c r="A64" s="1399"/>
      <c r="B64" s="1400"/>
      <c r="C64" s="1401"/>
      <c r="D64" s="1401"/>
      <c r="E64" s="1402"/>
      <c r="F64" s="1402"/>
    </row>
    <row r="65" spans="1:6" s="1346" customFormat="1" ht="15" customHeight="1">
      <c r="A65" s="1405">
        <v>2100</v>
      </c>
      <c r="B65" s="1372" t="s">
        <v>1417</v>
      </c>
      <c r="C65" s="1373"/>
      <c r="D65" s="1498"/>
      <c r="E65" s="1407"/>
      <c r="F65" s="1499"/>
    </row>
    <row r="66" spans="1:6">
      <c r="C66" s="1335"/>
    </row>
    <row r="118" spans="4:6" ht="15" customHeight="1">
      <c r="D118" s="1337"/>
      <c r="E118" s="1337"/>
      <c r="F118" s="1337"/>
    </row>
    <row r="119" spans="4:6" ht="15" customHeight="1">
      <c r="D119" s="1337"/>
      <c r="E119" s="1337"/>
      <c r="F119" s="1337"/>
    </row>
    <row r="120" spans="4:6" ht="15" customHeight="1">
      <c r="D120" s="1337"/>
      <c r="E120" s="1337"/>
      <c r="F120" s="1337"/>
    </row>
    <row r="121" spans="4:6" ht="15" customHeight="1">
      <c r="D121" s="1337"/>
      <c r="E121" s="1337"/>
      <c r="F121" s="1337"/>
    </row>
    <row r="122" spans="4:6" ht="15" customHeight="1">
      <c r="D122" s="1337"/>
      <c r="E122" s="1337"/>
      <c r="F122" s="1337"/>
    </row>
    <row r="123" spans="4:6">
      <c r="D123" s="1337"/>
      <c r="E123" s="1337"/>
      <c r="F123" s="1337"/>
    </row>
    <row r="163" spans="4:6">
      <c r="D163" s="1337"/>
      <c r="E163" s="1337"/>
      <c r="F163" s="1337"/>
    </row>
    <row r="209" spans="1:6" s="1338" customFormat="1">
      <c r="A209" s="1337"/>
      <c r="B209" s="1409"/>
      <c r="C209" s="1337"/>
      <c r="D209" s="1382"/>
      <c r="E209" s="1377"/>
      <c r="F209" s="1382"/>
    </row>
    <row r="210" spans="1:6" s="1338" customFormat="1">
      <c r="B210" s="1381"/>
    </row>
    <row r="211" spans="1:6" s="1338" customFormat="1">
      <c r="B211" s="1381"/>
    </row>
    <row r="212" spans="1:6" s="1338" customFormat="1">
      <c r="B212" s="1381"/>
    </row>
    <row r="213" spans="1:6" s="1338" customFormat="1">
      <c r="B213" s="1381"/>
    </row>
    <row r="214" spans="1:6" s="1338" customFormat="1">
      <c r="B214" s="1381"/>
    </row>
    <row r="215" spans="1:6" s="1338" customFormat="1">
      <c r="B215" s="1381"/>
    </row>
    <row r="216" spans="1:6" s="1338" customFormat="1">
      <c r="B216" s="1381"/>
    </row>
    <row r="217" spans="1:6" s="1338" customFormat="1">
      <c r="B217" s="1381"/>
    </row>
    <row r="218" spans="1:6">
      <c r="A218" s="1338"/>
      <c r="B218" s="1381"/>
      <c r="C218" s="1338"/>
      <c r="D218" s="1338"/>
      <c r="E218" s="1338"/>
      <c r="F218" s="1338"/>
    </row>
    <row r="266" spans="4:6">
      <c r="D266" s="1337"/>
      <c r="E266" s="1337"/>
      <c r="F266" s="1337"/>
    </row>
    <row r="323" spans="4:6">
      <c r="D323" s="1337"/>
      <c r="E323" s="1337"/>
      <c r="F323" s="1337"/>
    </row>
  </sheetData>
  <mergeCells count="2">
    <mergeCell ref="D7:F7"/>
    <mergeCell ref="A2:B2"/>
  </mergeCells>
  <pageMargins left="0.94488188976377963" right="0.35433070866141736" top="0.78740157480314965" bottom="0.78740157480314965" header="0.51181102362204722" footer="0.51181102362204722"/>
  <pageSetup paperSize="9" scale="78" orientation="portrait" r:id="rId1"/>
  <headerFooter alignWithMargins="0">
    <oddHeader>&amp;CC80.19</oddHeader>
  </headerFooter>
  <rowBreaks count="4" manualBreakCount="4">
    <brk id="118" max="5" man="1"/>
    <brk id="163" max="5" man="1"/>
    <brk id="210" max="5" man="1"/>
    <brk id="266"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view="pageBreakPreview" zoomScale="90" zoomScaleNormal="100" zoomScaleSheetLayoutView="90" workbookViewId="0">
      <pane ySplit="8" topLeftCell="A9" activePane="bottomLeft" state="frozen"/>
      <selection activeCell="H47" sqref="H47"/>
      <selection pane="bottomLeft" activeCell="C57" sqref="C57"/>
    </sheetView>
  </sheetViews>
  <sheetFormatPr defaultColWidth="9.109375" defaultRowHeight="13.2"/>
  <cols>
    <col min="1" max="1" width="9.6640625" style="1412" customWidth="1"/>
    <col min="2" max="2" width="36.6640625" style="1412" customWidth="1"/>
    <col min="3" max="3" width="9.33203125" style="1412" customWidth="1"/>
    <col min="4" max="4" width="10.6640625" style="1412" customWidth="1"/>
    <col min="5" max="5" width="12.6640625" style="1412" customWidth="1"/>
    <col min="6" max="6" width="17.88671875" style="1569" customWidth="1"/>
    <col min="7" max="16384" width="9.109375" style="1412"/>
  </cols>
  <sheetData>
    <row r="1" spans="1:6" ht="15" customHeight="1">
      <c r="A1" s="2029" t="str">
        <f>+'2300'!A1</f>
        <v>GREATER LETABA MUNICIPALITY</v>
      </c>
      <c r="B1" s="1500"/>
      <c r="C1" s="1460"/>
      <c r="D1" s="1460"/>
      <c r="E1" s="1460"/>
      <c r="F1" s="1501"/>
    </row>
    <row r="2" spans="1:6" ht="18" customHeight="1">
      <c r="A2" s="2215" t="str">
        <f>+'2300'!A2</f>
        <v>CONTRACT NUMBER: GLM015/2025</v>
      </c>
      <c r="B2" s="2215"/>
      <c r="C2" s="1460"/>
      <c r="D2" s="1460"/>
      <c r="E2" s="1460"/>
      <c r="F2" s="1460"/>
    </row>
    <row r="3" spans="1:6" ht="15" customHeight="1">
      <c r="A3" s="1502" t="s">
        <v>1439</v>
      </c>
      <c r="B3" s="1503"/>
      <c r="C3" s="1503"/>
      <c r="D3" s="1503"/>
      <c r="E3" s="1503"/>
      <c r="F3" s="1503"/>
    </row>
    <row r="4" spans="1:6" ht="15" customHeight="1">
      <c r="A4" s="1500" t="s">
        <v>1529</v>
      </c>
      <c r="B4" s="1460"/>
      <c r="C4" s="1460"/>
      <c r="D4" s="1460"/>
      <c r="E4" s="1438"/>
      <c r="F4" s="1504"/>
    </row>
    <row r="5" spans="1:6" ht="15" customHeight="1">
      <c r="A5" s="1505" t="s">
        <v>1530</v>
      </c>
      <c r="B5" s="1505"/>
      <c r="C5" s="1506"/>
      <c r="D5" s="1507"/>
      <c r="E5" s="1508"/>
      <c r="F5" s="1509"/>
    </row>
    <row r="6" spans="1:6" ht="5.0999999999999996" customHeight="1">
      <c r="A6" s="1510"/>
      <c r="B6" s="1510"/>
      <c r="C6" s="1502"/>
      <c r="D6" s="1502"/>
      <c r="E6" s="1511"/>
      <c r="F6" s="1342"/>
    </row>
    <row r="7" spans="1:6">
      <c r="A7" s="1502"/>
      <c r="B7" s="1510"/>
      <c r="C7" s="1502"/>
      <c r="D7" s="2212"/>
      <c r="E7" s="2213"/>
      <c r="F7" s="2214"/>
    </row>
    <row r="8" spans="1:6" s="1514" customFormat="1" ht="15" customHeight="1">
      <c r="A8" s="1512" t="s">
        <v>0</v>
      </c>
      <c r="B8" s="1512" t="s">
        <v>2</v>
      </c>
      <c r="C8" s="1512" t="s">
        <v>3</v>
      </c>
      <c r="D8" s="1512" t="s">
        <v>4</v>
      </c>
      <c r="E8" s="1513" t="s">
        <v>5</v>
      </c>
      <c r="F8" s="1345" t="s">
        <v>6</v>
      </c>
    </row>
    <row r="9" spans="1:6">
      <c r="A9" s="1515"/>
      <c r="B9" s="1438"/>
      <c r="C9" s="1515"/>
      <c r="D9" s="1438"/>
      <c r="E9" s="1516"/>
      <c r="F9" s="1517"/>
    </row>
    <row r="10" spans="1:6" ht="16.5" customHeight="1">
      <c r="A10" s="1518" t="s">
        <v>1531</v>
      </c>
      <c r="B10" s="1519" t="s">
        <v>1532</v>
      </c>
      <c r="C10" s="1520"/>
      <c r="D10" s="1520"/>
      <c r="E10" s="1521"/>
      <c r="F10" s="1522"/>
    </row>
    <row r="11" spans="1:6">
      <c r="A11" s="1523"/>
      <c r="B11" s="1524"/>
      <c r="C11" s="1525"/>
      <c r="D11" s="1526"/>
      <c r="E11" s="1521"/>
      <c r="F11" s="1521"/>
    </row>
    <row r="12" spans="1:6">
      <c r="A12" s="1523"/>
      <c r="B12" s="1527" t="s">
        <v>1533</v>
      </c>
      <c r="C12" s="1520" t="s">
        <v>60</v>
      </c>
      <c r="D12" s="1520">
        <f>250*250*0.5</f>
        <v>31250</v>
      </c>
      <c r="E12" s="1521"/>
      <c r="F12" s="1522"/>
    </row>
    <row r="13" spans="1:6">
      <c r="A13" s="1523"/>
      <c r="B13" s="1527"/>
      <c r="C13" s="1528"/>
      <c r="D13" s="1528"/>
      <c r="E13" s="1529"/>
      <c r="F13" s="1529"/>
    </row>
    <row r="14" spans="1:6" ht="13.8">
      <c r="A14" s="1523"/>
      <c r="B14" s="1527" t="s">
        <v>1534</v>
      </c>
      <c r="C14" s="1528" t="s">
        <v>1399</v>
      </c>
      <c r="D14" s="1528">
        <v>250</v>
      </c>
      <c r="E14" s="1529"/>
      <c r="F14" s="1529"/>
    </row>
    <row r="15" spans="1:6">
      <c r="A15" s="1523"/>
      <c r="B15" s="1524"/>
      <c r="C15" s="1525"/>
      <c r="D15" s="1526"/>
      <c r="E15" s="1521"/>
      <c r="F15" s="1521"/>
    </row>
    <row r="16" spans="1:6">
      <c r="A16" s="1530"/>
      <c r="B16" s="1524"/>
      <c r="C16" s="1525"/>
      <c r="D16" s="1531"/>
      <c r="E16" s="1532"/>
      <c r="F16" s="1532"/>
    </row>
    <row r="17" spans="1:6">
      <c r="A17" s="1530">
        <v>31.03</v>
      </c>
      <c r="B17" s="1524" t="s">
        <v>1535</v>
      </c>
      <c r="C17" s="1525"/>
      <c r="D17" s="1533"/>
      <c r="E17" s="1534"/>
      <c r="F17" s="1534"/>
    </row>
    <row r="18" spans="1:6" ht="12.75" customHeight="1">
      <c r="A18" s="1530"/>
      <c r="B18" s="1524"/>
      <c r="C18" s="1525"/>
      <c r="D18" s="1533"/>
      <c r="E18" s="1534"/>
      <c r="F18" s="1534"/>
    </row>
    <row r="19" spans="1:6">
      <c r="A19" s="1530"/>
      <c r="B19" s="1524" t="s">
        <v>1536</v>
      </c>
      <c r="C19" s="1525" t="s">
        <v>207</v>
      </c>
      <c r="D19" s="1535">
        <f>250*250/10000</f>
        <v>6.25</v>
      </c>
      <c r="E19" s="1536"/>
      <c r="F19" s="1537"/>
    </row>
    <row r="20" spans="1:6">
      <c r="A20" s="1530"/>
      <c r="B20" s="1524"/>
      <c r="C20" s="1525"/>
      <c r="D20" s="1535"/>
      <c r="E20" s="1536"/>
      <c r="F20" s="1536"/>
    </row>
    <row r="21" spans="1:6">
      <c r="A21" s="1530"/>
      <c r="B21" s="1444" t="s">
        <v>1537</v>
      </c>
      <c r="C21" s="1525" t="s">
        <v>207</v>
      </c>
      <c r="D21" s="1535">
        <f>D19*0.2</f>
        <v>1.25</v>
      </c>
      <c r="E21" s="1536"/>
      <c r="F21" s="1537"/>
    </row>
    <row r="22" spans="1:6">
      <c r="A22" s="1530"/>
      <c r="B22" s="1524"/>
      <c r="C22" s="1525"/>
      <c r="D22" s="1533"/>
      <c r="E22" s="1534"/>
      <c r="F22" s="1534"/>
    </row>
    <row r="23" spans="1:6">
      <c r="A23" s="1530"/>
      <c r="B23" s="1524"/>
      <c r="C23" s="1525"/>
      <c r="D23" s="1538"/>
      <c r="E23" s="1532"/>
      <c r="F23" s="1288"/>
    </row>
    <row r="24" spans="1:6">
      <c r="A24" s="1539"/>
      <c r="B24" s="1540"/>
      <c r="C24" s="1541"/>
      <c r="D24" s="1542"/>
      <c r="E24" s="1543"/>
      <c r="F24" s="1543"/>
    </row>
    <row r="25" spans="1:6">
      <c r="A25" s="1544"/>
      <c r="B25" s="1545"/>
      <c r="C25" s="1546"/>
      <c r="D25" s="1546"/>
      <c r="E25" s="1547"/>
      <c r="F25" s="1547"/>
    </row>
    <row r="26" spans="1:6">
      <c r="A26" s="1544"/>
      <c r="B26" s="1545"/>
      <c r="C26" s="1546"/>
      <c r="D26" s="1546"/>
      <c r="E26" s="1547"/>
      <c r="F26" s="1547"/>
    </row>
    <row r="27" spans="1:6">
      <c r="A27" s="1544"/>
      <c r="B27" s="1545"/>
      <c r="C27" s="1546"/>
      <c r="D27" s="1546"/>
      <c r="E27" s="1547"/>
      <c r="F27" s="1547"/>
    </row>
    <row r="28" spans="1:6">
      <c r="A28" s="1544"/>
      <c r="B28" s="1548"/>
      <c r="C28" s="1549"/>
      <c r="D28" s="1546"/>
      <c r="E28" s="1547"/>
      <c r="F28" s="1547"/>
    </row>
    <row r="29" spans="1:6">
      <c r="A29" s="1550"/>
      <c r="B29" s="1551"/>
      <c r="C29" s="1552"/>
      <c r="D29" s="1553"/>
      <c r="E29" s="1554"/>
      <c r="F29" s="1555"/>
    </row>
    <row r="30" spans="1:6">
      <c r="A30" s="1550"/>
      <c r="B30" s="1556"/>
      <c r="C30" s="1552"/>
      <c r="D30" s="1553"/>
      <c r="E30" s="1554"/>
      <c r="F30" s="1555"/>
    </row>
    <row r="31" spans="1:6">
      <c r="A31" s="1557"/>
      <c r="B31" s="1556"/>
      <c r="C31" s="1552"/>
      <c r="D31" s="1553"/>
      <c r="E31" s="1554"/>
      <c r="F31" s="1558"/>
    </row>
    <row r="32" spans="1:6">
      <c r="A32" s="1550"/>
      <c r="B32" s="1559"/>
      <c r="C32" s="1560"/>
      <c r="D32" s="1561"/>
      <c r="E32" s="1562"/>
      <c r="F32" s="1563"/>
    </row>
    <row r="33" spans="1:6">
      <c r="A33" s="1550"/>
      <c r="B33" s="1559"/>
      <c r="C33" s="1560"/>
      <c r="D33" s="1561"/>
      <c r="E33" s="1562"/>
      <c r="F33" s="1563"/>
    </row>
    <row r="34" spans="1:6">
      <c r="A34" s="1550"/>
      <c r="B34" s="1559"/>
      <c r="C34" s="1560"/>
      <c r="D34" s="1561"/>
      <c r="E34" s="1562"/>
      <c r="F34" s="1563"/>
    </row>
    <row r="35" spans="1:6">
      <c r="A35" s="1544"/>
      <c r="B35" s="1564"/>
      <c r="C35" s="1564"/>
      <c r="D35" s="1542"/>
      <c r="E35" s="1543"/>
      <c r="F35" s="1543"/>
    </row>
    <row r="36" spans="1:6" ht="12.75" customHeight="1">
      <c r="A36" s="1549"/>
      <c r="B36" s="1545"/>
      <c r="C36" s="1564"/>
      <c r="D36" s="1542"/>
      <c r="E36" s="1543"/>
      <c r="F36" s="1543"/>
    </row>
    <row r="37" spans="1:6">
      <c r="A37" s="1544"/>
      <c r="B37" s="1564"/>
      <c r="C37" s="1564"/>
      <c r="D37" s="1542"/>
      <c r="E37" s="1543"/>
      <c r="F37" s="1543"/>
    </row>
    <row r="38" spans="1:6">
      <c r="A38" s="1544"/>
      <c r="B38" s="1545"/>
      <c r="C38" s="1564"/>
      <c r="D38" s="1542"/>
      <c r="E38" s="1543"/>
      <c r="F38" s="1543"/>
    </row>
    <row r="39" spans="1:6">
      <c r="A39" s="1544"/>
      <c r="B39" s="1545"/>
      <c r="C39" s="1546"/>
      <c r="D39" s="1546"/>
      <c r="E39" s="1547"/>
      <c r="F39" s="1547"/>
    </row>
    <row r="40" spans="1:6">
      <c r="A40" s="1544"/>
      <c r="B40" s="1564"/>
      <c r="C40" s="1564"/>
      <c r="D40" s="1546"/>
      <c r="E40" s="1543"/>
      <c r="F40" s="1543"/>
    </row>
    <row r="41" spans="1:6">
      <c r="A41" s="1549"/>
      <c r="B41" s="1545"/>
      <c r="C41" s="1542"/>
      <c r="D41" s="1546"/>
      <c r="E41" s="1547"/>
      <c r="F41" s="1547"/>
    </row>
    <row r="42" spans="1:6">
      <c r="A42" s="1544"/>
      <c r="B42" s="1564"/>
      <c r="C42" s="1564"/>
      <c r="D42" s="1546"/>
      <c r="E42" s="1543"/>
      <c r="F42" s="1543"/>
    </row>
    <row r="43" spans="1:6">
      <c r="A43" s="1544"/>
      <c r="B43" s="1545"/>
      <c r="C43" s="1546"/>
      <c r="D43" s="1546"/>
      <c r="E43" s="1547"/>
      <c r="F43" s="1547"/>
    </row>
    <row r="44" spans="1:6">
      <c r="A44" s="1544"/>
      <c r="B44" s="1564"/>
      <c r="C44" s="1564"/>
      <c r="D44" s="1542"/>
      <c r="E44" s="1543"/>
      <c r="F44" s="1543"/>
    </row>
    <row r="45" spans="1:6">
      <c r="A45" s="1549"/>
      <c r="B45" s="1545"/>
      <c r="C45" s="1564"/>
      <c r="D45" s="1542"/>
      <c r="E45" s="1543"/>
      <c r="F45" s="1543"/>
    </row>
    <row r="46" spans="1:6">
      <c r="A46" s="1544"/>
      <c r="B46" s="1564"/>
      <c r="C46" s="1564"/>
      <c r="D46" s="1542"/>
      <c r="E46" s="1543"/>
      <c r="F46" s="1543"/>
    </row>
    <row r="47" spans="1:6">
      <c r="A47" s="1544"/>
      <c r="B47" s="1545"/>
      <c r="C47" s="1546"/>
      <c r="D47" s="1546"/>
      <c r="E47" s="1547"/>
      <c r="F47" s="1547"/>
    </row>
    <row r="48" spans="1:6">
      <c r="A48" s="1544"/>
      <c r="B48" s="1545"/>
      <c r="C48" s="1546"/>
      <c r="D48" s="1546"/>
      <c r="E48" s="1547"/>
      <c r="F48" s="1547"/>
    </row>
    <row r="49" spans="1:6">
      <c r="A49" s="1544"/>
      <c r="B49" s="1545"/>
      <c r="C49" s="1546"/>
      <c r="D49" s="1546"/>
      <c r="E49" s="1547"/>
      <c r="F49" s="1547"/>
    </row>
    <row r="50" spans="1:6">
      <c r="A50" s="1544"/>
      <c r="B50" s="1545"/>
      <c r="C50" s="1546"/>
      <c r="D50" s="1546"/>
      <c r="E50" s="1547"/>
      <c r="F50" s="1547"/>
    </row>
    <row r="51" spans="1:6">
      <c r="A51" s="1544"/>
      <c r="B51" s="1564"/>
      <c r="C51" s="1564"/>
      <c r="D51" s="1542"/>
      <c r="E51" s="1543"/>
      <c r="F51" s="1543"/>
    </row>
    <row r="52" spans="1:6">
      <c r="A52" s="1544"/>
      <c r="B52" s="1564"/>
      <c r="C52" s="1564"/>
      <c r="D52" s="1542"/>
      <c r="E52" s="1543"/>
      <c r="F52" s="1543"/>
    </row>
    <row r="53" spans="1:6">
      <c r="A53" s="1544"/>
      <c r="B53" s="1564"/>
      <c r="C53" s="1542"/>
      <c r="D53" s="1542"/>
      <c r="E53" s="1547"/>
      <c r="F53" s="1547"/>
    </row>
    <row r="54" spans="1:6">
      <c r="A54" s="1549"/>
      <c r="B54" s="1545"/>
      <c r="C54" s="1546"/>
      <c r="D54" s="1546"/>
      <c r="E54" s="1543"/>
      <c r="F54" s="1547"/>
    </row>
    <row r="55" spans="1:6" ht="12.75" customHeight="1">
      <c r="A55" s="1544"/>
      <c r="B55" s="1564"/>
      <c r="C55" s="1564"/>
      <c r="D55" s="1564"/>
      <c r="E55" s="1543"/>
      <c r="F55" s="1543"/>
    </row>
    <row r="56" spans="1:6" s="1514" customFormat="1" ht="16.5" customHeight="1">
      <c r="A56" s="1565">
        <v>3300</v>
      </c>
      <c r="B56" s="1372" t="s">
        <v>1417</v>
      </c>
      <c r="C56" s="1373"/>
      <c r="D56" s="1566"/>
      <c r="E56" s="1567"/>
      <c r="F56" s="1568"/>
    </row>
    <row r="57" spans="1:6">
      <c r="C57" s="1460"/>
    </row>
  </sheetData>
  <mergeCells count="2">
    <mergeCell ref="D7:F7"/>
    <mergeCell ref="A2:B2"/>
  </mergeCells>
  <pageMargins left="0.94488188976377963" right="0.35433070866141736" top="0.78740157480314965" bottom="0.78740157480314965" header="0.51181102362204722" footer="0.51181102362204722"/>
  <pageSetup paperSize="9" scale="90" orientation="portrait" r:id="rId1"/>
  <headerFooter alignWithMargins="0">
    <oddHeader>&amp;CC80.20</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120" zoomScaleNormal="100" zoomScaleSheetLayoutView="120" workbookViewId="0">
      <pane ySplit="8" topLeftCell="A24" activePane="bottomLeft" state="frozen"/>
      <selection activeCell="H47" sqref="H47"/>
      <selection pane="bottomLeft" activeCell="I36" sqref="I36"/>
    </sheetView>
  </sheetViews>
  <sheetFormatPr defaultColWidth="9.109375" defaultRowHeight="11.4"/>
  <cols>
    <col min="1" max="1" width="8.6640625" style="1583" customWidth="1"/>
    <col min="2" max="2" width="36.6640625" style="1583" customWidth="1"/>
    <col min="3" max="3" width="9.33203125" style="1583" customWidth="1"/>
    <col min="4" max="4" width="10.6640625" style="1583" customWidth="1"/>
    <col min="5" max="5" width="11.88671875" style="1455" customWidth="1"/>
    <col min="6" max="6" width="16" style="1622" bestFit="1" customWidth="1"/>
    <col min="7" max="7" width="12.5546875" style="1583" bestFit="1" customWidth="1"/>
    <col min="8" max="8" width="11.21875" style="1583" bestFit="1" customWidth="1"/>
    <col min="9" max="16384" width="9.109375" style="1583"/>
  </cols>
  <sheetData>
    <row r="1" spans="1:7" s="1573" customFormat="1" ht="15" customHeight="1">
      <c r="A1" s="2030" t="str">
        <f>+'3100'!A1</f>
        <v>GREATER LETABA MUNICIPALITY</v>
      </c>
      <c r="B1" s="1570"/>
      <c r="C1" s="1571"/>
      <c r="D1" s="1571"/>
      <c r="E1" s="1571"/>
      <c r="F1" s="1572"/>
    </row>
    <row r="2" spans="1:7" s="1573" customFormat="1" ht="13.2" customHeight="1">
      <c r="A2" s="2219" t="str">
        <f>+'3100'!A2</f>
        <v>CONTRACT NUMBER: GLM015/2025</v>
      </c>
      <c r="B2" s="2219"/>
      <c r="C2" s="1571"/>
      <c r="D2" s="1571"/>
      <c r="E2" s="1571"/>
      <c r="F2" s="1571"/>
    </row>
    <row r="3" spans="1:7" s="217" customFormat="1" ht="15" customHeight="1">
      <c r="A3" s="1574" t="s">
        <v>1439</v>
      </c>
      <c r="B3" s="1575"/>
      <c r="C3" s="1575"/>
      <c r="D3" s="1575"/>
      <c r="E3" s="1575"/>
      <c r="F3" s="1575"/>
    </row>
    <row r="4" spans="1:7" s="1573" customFormat="1" ht="15" customHeight="1">
      <c r="A4" s="1570" t="s">
        <v>1538</v>
      </c>
      <c r="B4" s="927"/>
      <c r="C4" s="927"/>
      <c r="D4" s="927"/>
      <c r="E4" s="35"/>
      <c r="F4" s="1576"/>
    </row>
    <row r="5" spans="1:7" s="1573" customFormat="1" ht="15" customHeight="1">
      <c r="A5" s="1574" t="s">
        <v>1539</v>
      </c>
      <c r="B5" s="1574"/>
      <c r="C5" s="1577"/>
      <c r="D5" s="1578"/>
      <c r="E5" s="1442"/>
      <c r="F5" s="1579"/>
    </row>
    <row r="6" spans="1:7" ht="5.0999999999999996" customHeight="1">
      <c r="A6" s="1580"/>
      <c r="B6" s="1580"/>
      <c r="C6" s="1581"/>
      <c r="D6" s="1581"/>
      <c r="E6" s="1582"/>
      <c r="F6" s="1273"/>
    </row>
    <row r="7" spans="1:7" ht="12">
      <c r="A7" s="1581"/>
      <c r="B7" s="1580"/>
      <c r="C7" s="1581"/>
      <c r="D7" s="2216"/>
      <c r="E7" s="2217"/>
      <c r="F7" s="2218"/>
    </row>
    <row r="8" spans="1:7" s="1573" customFormat="1" ht="15" customHeight="1">
      <c r="A8" s="1584" t="s">
        <v>0</v>
      </c>
      <c r="B8" s="1584" t="s">
        <v>2</v>
      </c>
      <c r="C8" s="1584" t="s">
        <v>3</v>
      </c>
      <c r="D8" s="1584" t="s">
        <v>4</v>
      </c>
      <c r="E8" s="1585" t="s">
        <v>5</v>
      </c>
      <c r="F8" s="1276" t="s">
        <v>6</v>
      </c>
    </row>
    <row r="9" spans="1:7" s="1256" customFormat="1" ht="13.2">
      <c r="A9" s="1454"/>
      <c r="B9" s="1455"/>
      <c r="C9" s="1454"/>
      <c r="D9" s="1455"/>
      <c r="E9" s="1529"/>
      <c r="F9" s="1586"/>
    </row>
    <row r="10" spans="1:7" ht="22.8">
      <c r="A10" s="1520">
        <v>33.01</v>
      </c>
      <c r="B10" s="1587" t="s">
        <v>1540</v>
      </c>
      <c r="C10" s="1588"/>
      <c r="D10" s="1588"/>
      <c r="E10" s="1589"/>
      <c r="F10" s="1534"/>
    </row>
    <row r="11" spans="1:7" ht="8.25" customHeight="1">
      <c r="A11" s="1590"/>
      <c r="B11" s="1588"/>
      <c r="C11" s="1533"/>
      <c r="D11" s="1531"/>
      <c r="E11" s="1589"/>
      <c r="F11" s="1532"/>
    </row>
    <row r="12" spans="1:7" ht="22.8">
      <c r="A12" s="1590"/>
      <c r="B12" s="1587" t="s">
        <v>1541</v>
      </c>
      <c r="C12" s="1588"/>
      <c r="D12" s="1533"/>
      <c r="E12" s="1589"/>
      <c r="F12" s="1534"/>
    </row>
    <row r="13" spans="1:7" ht="8.25" customHeight="1">
      <c r="A13" s="1590"/>
      <c r="B13" s="1588"/>
      <c r="C13" s="1588"/>
      <c r="D13" s="1533"/>
      <c r="E13" s="1589"/>
      <c r="F13" s="1534"/>
    </row>
    <row r="14" spans="1:7" ht="12">
      <c r="A14" s="1590"/>
      <c r="B14" s="1587" t="s">
        <v>1542</v>
      </c>
      <c r="C14" s="1588"/>
      <c r="D14" s="1591"/>
      <c r="E14" s="1592"/>
      <c r="F14" s="1534"/>
    </row>
    <row r="15" spans="1:7" ht="12">
      <c r="A15" s="1590"/>
      <c r="B15" s="1587" t="s">
        <v>1543</v>
      </c>
      <c r="C15" s="1538" t="s">
        <v>60</v>
      </c>
      <c r="D15" s="1593">
        <f>(510*12.4*0.45)+ (1000*11.4*0.45)</f>
        <v>7975.8</v>
      </c>
      <c r="E15" s="1592"/>
      <c r="F15" s="1288"/>
      <c r="G15" s="1583">
        <f>(4063*0.45)+1000*0.45*11.4</f>
        <v>6958.35</v>
      </c>
    </row>
    <row r="16" spans="1:7" ht="8.25" customHeight="1">
      <c r="A16" s="1590"/>
      <c r="B16" s="1587"/>
      <c r="C16" s="1538"/>
      <c r="D16" s="1593"/>
      <c r="E16" s="1592"/>
      <c r="F16" s="1594"/>
    </row>
    <row r="17" spans="1:6" ht="12">
      <c r="A17" s="1520">
        <v>33.03</v>
      </c>
      <c r="B17" s="1587" t="s">
        <v>1544</v>
      </c>
      <c r="C17" s="1588"/>
      <c r="D17" s="1593"/>
      <c r="E17" s="1592"/>
      <c r="F17" s="1534"/>
    </row>
    <row r="18" spans="1:6" ht="12">
      <c r="A18" s="1590"/>
      <c r="B18" s="1587" t="s">
        <v>1545</v>
      </c>
      <c r="C18" s="1533"/>
      <c r="D18" s="1593"/>
      <c r="E18" s="1592"/>
      <c r="F18" s="1532"/>
    </row>
    <row r="19" spans="1:6" ht="12">
      <c r="A19" s="1590"/>
      <c r="B19" s="1588"/>
      <c r="C19" s="1588"/>
      <c r="D19" s="1593"/>
      <c r="E19" s="1592"/>
      <c r="F19" s="1534"/>
    </row>
    <row r="20" spans="1:6" ht="12">
      <c r="A20" s="1590"/>
      <c r="B20" s="1587" t="s">
        <v>1546</v>
      </c>
      <c r="C20" s="1538" t="s">
        <v>60</v>
      </c>
      <c r="D20" s="1593">
        <f>+D15*0.2</f>
        <v>1595.16</v>
      </c>
      <c r="E20" s="1592"/>
      <c r="F20" s="1288"/>
    </row>
    <row r="21" spans="1:6" ht="12">
      <c r="A21" s="1590"/>
      <c r="B21" s="1587"/>
      <c r="C21" s="1538"/>
      <c r="D21" s="1593"/>
      <c r="E21" s="1592"/>
      <c r="F21" s="1532"/>
    </row>
    <row r="22" spans="1:6" ht="12">
      <c r="A22" s="1590"/>
      <c r="B22" s="1587" t="s">
        <v>1547</v>
      </c>
      <c r="C22" s="1538" t="s">
        <v>60</v>
      </c>
      <c r="D22" s="1593">
        <f>+D15*0.15</f>
        <v>1196.3699999999999</v>
      </c>
      <c r="E22" s="1592"/>
      <c r="F22" s="1288"/>
    </row>
    <row r="23" spans="1:6" ht="12">
      <c r="A23" s="1590"/>
      <c r="B23" s="1595"/>
      <c r="C23" s="1520"/>
      <c r="D23" s="1593"/>
      <c r="E23" s="1592"/>
      <c r="F23" s="1532"/>
    </row>
    <row r="24" spans="1:6">
      <c r="A24" s="1596">
        <v>33.04</v>
      </c>
      <c r="B24" s="1597" t="s">
        <v>1548</v>
      </c>
      <c r="C24" s="1598"/>
      <c r="D24" s="1599"/>
      <c r="E24" s="1600"/>
      <c r="F24" s="1601"/>
    </row>
    <row r="25" spans="1:6">
      <c r="A25" s="1596"/>
      <c r="B25" s="1602" t="s">
        <v>1549</v>
      </c>
      <c r="C25" s="1598"/>
      <c r="D25" s="1599"/>
      <c r="E25" s="1600"/>
      <c r="F25" s="1601"/>
    </row>
    <row r="26" spans="1:6" ht="12">
      <c r="A26" s="1603"/>
      <c r="B26" s="1602"/>
      <c r="C26" s="1598"/>
      <c r="D26" s="1599"/>
      <c r="E26" s="1600"/>
      <c r="F26" s="1604"/>
    </row>
    <row r="27" spans="1:6">
      <c r="A27" s="1596"/>
      <c r="B27" s="1605" t="s">
        <v>1550</v>
      </c>
      <c r="C27" s="1606" t="s">
        <v>60</v>
      </c>
      <c r="D27" s="1607">
        <f>D15-D20-D22</f>
        <v>5184.2700000000004</v>
      </c>
      <c r="E27" s="1600"/>
      <c r="F27" s="1288"/>
    </row>
    <row r="28" spans="1:6" ht="7.5" customHeight="1">
      <c r="A28" s="1590"/>
      <c r="B28" s="1587"/>
      <c r="C28" s="1538"/>
      <c r="D28" s="1593"/>
      <c r="E28" s="1592"/>
      <c r="F28" s="1532"/>
    </row>
    <row r="29" spans="1:6" ht="22.8">
      <c r="A29" s="1596" t="s">
        <v>1789</v>
      </c>
      <c r="B29" s="1587" t="s">
        <v>1788</v>
      </c>
      <c r="C29" s="1538" t="s">
        <v>60</v>
      </c>
      <c r="D29" s="1593">
        <v>200</v>
      </c>
      <c r="E29" s="1592"/>
      <c r="F29" s="1288"/>
    </row>
    <row r="30" spans="1:6" ht="12">
      <c r="A30" s="1590"/>
      <c r="B30" s="1595"/>
      <c r="C30" s="1520"/>
      <c r="D30" s="1593"/>
      <c r="E30" s="1592"/>
      <c r="F30" s="1532"/>
    </row>
    <row r="31" spans="1:6" ht="12.75" customHeight="1">
      <c r="A31" s="1608" t="s">
        <v>1551</v>
      </c>
      <c r="B31" s="1587" t="s">
        <v>1552</v>
      </c>
      <c r="C31" s="1588"/>
      <c r="D31" s="1591"/>
      <c r="E31" s="1592"/>
      <c r="F31" s="1534"/>
    </row>
    <row r="32" spans="1:6" ht="12">
      <c r="A32" s="1590"/>
      <c r="B32" s="1588"/>
      <c r="C32" s="1588"/>
      <c r="D32" s="1591"/>
      <c r="E32" s="1592"/>
      <c r="F32" s="1534"/>
    </row>
    <row r="33" spans="1:6" ht="12">
      <c r="A33" s="1590"/>
      <c r="B33" s="1587" t="s">
        <v>1553</v>
      </c>
      <c r="C33" s="1588"/>
      <c r="D33" s="1591"/>
      <c r="E33" s="1592"/>
      <c r="F33" s="1534"/>
    </row>
    <row r="34" spans="1:6" ht="12">
      <c r="A34" s="1590"/>
      <c r="B34" s="1587" t="s">
        <v>1543</v>
      </c>
      <c r="C34" s="1538" t="s">
        <v>60</v>
      </c>
      <c r="D34" s="1593">
        <f>(510*0.15*9.8)+(1000*11.4*0.15)</f>
        <v>2459.6999999999998</v>
      </c>
      <c r="E34" s="1592"/>
      <c r="F34" s="1288"/>
    </row>
    <row r="35" spans="1:6" ht="12">
      <c r="A35" s="1590"/>
      <c r="B35" s="1588"/>
      <c r="C35" s="1588"/>
      <c r="D35" s="1593"/>
      <c r="E35" s="1592"/>
      <c r="F35" s="1534"/>
    </row>
    <row r="36" spans="1:6" ht="12">
      <c r="A36" s="1520">
        <v>33.130000000000003</v>
      </c>
      <c r="B36" s="1587" t="s">
        <v>1554</v>
      </c>
      <c r="C36" s="1588"/>
      <c r="D36" s="1591"/>
      <c r="E36" s="1592"/>
      <c r="F36" s="1534"/>
    </row>
    <row r="37" spans="1:6" ht="12">
      <c r="A37" s="1590"/>
      <c r="B37" s="1587" t="s">
        <v>1555</v>
      </c>
      <c r="C37" s="1533"/>
      <c r="D37" s="1591"/>
      <c r="E37" s="1592"/>
      <c r="F37" s="1532"/>
    </row>
    <row r="38" spans="1:6" ht="3" customHeight="1">
      <c r="A38" s="1590"/>
      <c r="B38" s="1588"/>
      <c r="C38" s="1588"/>
      <c r="D38" s="1591"/>
      <c r="E38" s="1592"/>
      <c r="F38" s="1534"/>
    </row>
    <row r="39" spans="1:6" ht="12">
      <c r="A39" s="1590"/>
      <c r="B39" s="1587" t="s">
        <v>1556</v>
      </c>
      <c r="C39" s="1538" t="s">
        <v>877</v>
      </c>
      <c r="D39" s="1593">
        <f>(1510*5)</f>
        <v>7550</v>
      </c>
      <c r="E39" s="1592"/>
      <c r="F39" s="1288"/>
    </row>
    <row r="40" spans="1:6" ht="6" customHeight="1">
      <c r="A40" s="1590"/>
      <c r="B40" s="1588"/>
      <c r="C40" s="1588"/>
      <c r="D40" s="1591"/>
      <c r="E40" s="1592"/>
      <c r="F40" s="1534"/>
    </row>
    <row r="41" spans="1:6" ht="12">
      <c r="A41" s="1590"/>
      <c r="B41" s="1587" t="s">
        <v>1557</v>
      </c>
      <c r="C41" s="1538" t="s">
        <v>877</v>
      </c>
      <c r="D41" s="1593">
        <f>+D39</f>
        <v>7550</v>
      </c>
      <c r="E41" s="1592"/>
      <c r="F41" s="1522"/>
    </row>
    <row r="42" spans="1:6" ht="5.25" customHeight="1">
      <c r="A42" s="1590"/>
      <c r="B42" s="1587"/>
      <c r="C42" s="1538"/>
      <c r="D42" s="1593"/>
      <c r="E42" s="1592"/>
      <c r="F42" s="1522"/>
    </row>
    <row r="43" spans="1:6" ht="11.55" customHeight="1">
      <c r="A43" s="1590"/>
      <c r="B43" s="1587"/>
      <c r="C43" s="1538"/>
      <c r="D43" s="1593"/>
      <c r="E43" s="1592"/>
      <c r="F43" s="1522"/>
    </row>
    <row r="44" spans="1:6" ht="13.95" customHeight="1">
      <c r="A44" s="1520" t="s">
        <v>1558</v>
      </c>
      <c r="B44" s="1609" t="s">
        <v>1559</v>
      </c>
      <c r="C44" s="1610" t="str">
        <f>C27</f>
        <v>m³</v>
      </c>
      <c r="D44" s="1593">
        <f>D27/2</f>
        <v>2592.1350000000002</v>
      </c>
      <c r="E44" s="1592"/>
      <c r="F44" s="1522"/>
    </row>
    <row r="45" spans="1:6" s="1573" customFormat="1" ht="16.5" customHeight="1">
      <c r="A45" s="1590"/>
      <c r="B45" s="1588"/>
      <c r="C45" s="1588"/>
      <c r="D45" s="1591"/>
      <c r="E45" s="1592"/>
      <c r="F45" s="1534"/>
    </row>
    <row r="46" spans="1:6" ht="12">
      <c r="A46" s="1590"/>
      <c r="B46" s="1588" t="s">
        <v>881</v>
      </c>
      <c r="C46" s="1588"/>
      <c r="D46" s="1591"/>
      <c r="E46" s="1592"/>
      <c r="F46" s="1534"/>
    </row>
    <row r="47" spans="1:6" ht="12">
      <c r="A47" s="1590"/>
      <c r="B47" s="1588"/>
      <c r="C47" s="1588"/>
      <c r="D47" s="1591"/>
      <c r="E47" s="1592"/>
      <c r="F47" s="1534"/>
    </row>
    <row r="48" spans="1:6" ht="39.6">
      <c r="A48" s="1611" t="s">
        <v>1560</v>
      </c>
      <c r="B48" s="1609" t="s">
        <v>1561</v>
      </c>
      <c r="C48" s="1549" t="s">
        <v>1562</v>
      </c>
      <c r="D48" s="1593">
        <f>(+D15+D27)*9</f>
        <v>118440.63</v>
      </c>
      <c r="E48" s="1592"/>
      <c r="F48" s="1522"/>
    </row>
    <row r="49" spans="1:8" ht="13.2">
      <c r="A49" s="1611"/>
      <c r="B49" s="1609"/>
      <c r="C49" s="1546"/>
      <c r="D49" s="1593"/>
      <c r="E49" s="1612"/>
      <c r="F49" s="1613"/>
    </row>
    <row r="50" spans="1:8" ht="13.2">
      <c r="A50" s="1611"/>
      <c r="B50" s="1609"/>
      <c r="C50" s="1546"/>
      <c r="D50" s="1593"/>
      <c r="E50" s="1589"/>
      <c r="F50" s="1613"/>
    </row>
    <row r="51" spans="1:8" ht="13.2">
      <c r="A51" s="1611"/>
      <c r="C51" s="1546"/>
      <c r="D51" s="1593"/>
      <c r="E51" s="1589"/>
      <c r="F51" s="1613"/>
    </row>
    <row r="52" spans="1:8" ht="13.2">
      <c r="A52" s="1611"/>
      <c r="B52" s="1609"/>
      <c r="C52" s="1546"/>
      <c r="D52" s="1593"/>
      <c r="E52" s="1589"/>
      <c r="F52" s="1613"/>
    </row>
    <row r="53" spans="1:8" ht="13.2">
      <c r="A53" s="1611"/>
      <c r="B53" s="1609"/>
      <c r="C53" s="1546"/>
      <c r="D53" s="1593"/>
      <c r="E53" s="1589"/>
      <c r="F53" s="1613"/>
    </row>
    <row r="54" spans="1:8" ht="13.2">
      <c r="A54" s="1611"/>
      <c r="B54" s="1609"/>
      <c r="C54" s="1546"/>
      <c r="D54" s="1593"/>
      <c r="E54" s="1589"/>
      <c r="F54" s="1613"/>
    </row>
    <row r="55" spans="1:8" ht="13.2">
      <c r="A55" s="1611"/>
      <c r="B55" s="1609"/>
      <c r="C55" s="1546"/>
      <c r="D55" s="1593"/>
      <c r="E55" s="1589"/>
      <c r="F55" s="1613"/>
    </row>
    <row r="56" spans="1:8" ht="12">
      <c r="A56" s="1590"/>
      <c r="B56" s="1588"/>
      <c r="C56" s="1588"/>
      <c r="D56" s="1614"/>
      <c r="E56" s="1589"/>
      <c r="F56" s="1534"/>
    </row>
    <row r="57" spans="1:8" ht="12">
      <c r="A57" s="1615">
        <v>3300</v>
      </c>
      <c r="B57" s="1325" t="s">
        <v>1417</v>
      </c>
      <c r="C57" s="1326"/>
      <c r="D57" s="1616"/>
      <c r="E57" s="1617"/>
      <c r="F57" s="1618"/>
      <c r="G57" s="1619"/>
      <c r="H57" s="1620"/>
    </row>
    <row r="58" spans="1:8" ht="12">
      <c r="C58" s="1621"/>
    </row>
    <row r="60" spans="1:8" ht="13.2">
      <c r="A60" s="1623"/>
      <c r="B60" s="1624"/>
      <c r="C60" s="1623"/>
    </row>
  </sheetData>
  <mergeCells count="2">
    <mergeCell ref="D7:F7"/>
    <mergeCell ref="A2:B2"/>
  </mergeCells>
  <pageMargins left="0.94488188976377963" right="0.35433070866141736" top="0.78740157480314965" bottom="0.78740157480314965" header="0.51181102362204722" footer="0.51181102362204722"/>
  <pageSetup paperSize="9" scale="95" orientation="portrait" r:id="rId1"/>
  <headerFooter alignWithMargins="0">
    <oddHeader>&amp;CC80.21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view="pageBreakPreview" zoomScale="110" zoomScaleNormal="100" zoomScaleSheetLayoutView="110" workbookViewId="0">
      <pane ySplit="8" topLeftCell="A9" activePane="bottomLeft" state="frozen"/>
      <selection activeCell="C1" sqref="C1"/>
      <selection pane="bottomLeft" activeCell="B17" sqref="B17"/>
    </sheetView>
  </sheetViews>
  <sheetFormatPr defaultColWidth="9.109375" defaultRowHeight="13.2"/>
  <cols>
    <col min="1" max="1" width="7.6640625" style="1268" customWidth="1"/>
    <col min="2" max="2" width="39.5546875" style="1268" customWidth="1"/>
    <col min="3" max="3" width="9.33203125" style="1268" customWidth="1"/>
    <col min="4" max="4" width="10.6640625" style="1661" customWidth="1"/>
    <col min="5" max="5" width="14.6640625" style="1662" customWidth="1"/>
    <col min="6" max="6" width="16.109375" style="1268" customWidth="1"/>
    <col min="7" max="8" width="10.109375" style="1268" bestFit="1" customWidth="1"/>
    <col min="9" max="16384" width="9.109375" style="1268"/>
  </cols>
  <sheetData>
    <row r="1" spans="1:6" s="1265" customFormat="1" ht="15" customHeight="1">
      <c r="A1" s="2027" t="str">
        <f>+'3300'!A1</f>
        <v>GREATER LETABA MUNICIPALITY</v>
      </c>
      <c r="B1" s="1261"/>
      <c r="C1" s="1262"/>
      <c r="D1" s="1262"/>
      <c r="E1" s="1262"/>
      <c r="F1" s="1262"/>
    </row>
    <row r="2" spans="1:6" s="1265" customFormat="1" ht="14.4" customHeight="1">
      <c r="A2" s="2204" t="str">
        <f>+'3300'!A2:B2</f>
        <v>CONTRACT NUMBER: GLM015/2025</v>
      </c>
      <c r="B2" s="2220"/>
      <c r="C2" s="1262"/>
      <c r="D2" s="1262"/>
      <c r="E2" s="1262"/>
      <c r="F2" s="1262"/>
    </row>
    <row r="3" spans="1:6" ht="15" customHeight="1">
      <c r="A3" s="1271" t="s">
        <v>1439</v>
      </c>
      <c r="B3" s="1625"/>
      <c r="C3" s="1625"/>
      <c r="D3" s="1625"/>
      <c r="E3" s="1625"/>
      <c r="F3" s="1625"/>
    </row>
    <row r="4" spans="1:6" ht="15" customHeight="1">
      <c r="A4" s="1261" t="s">
        <v>1563</v>
      </c>
      <c r="B4" s="1626"/>
      <c r="C4" s="1626"/>
      <c r="D4" s="1626"/>
      <c r="E4" s="1626"/>
      <c r="F4" s="1626"/>
    </row>
    <row r="5" spans="1:6" ht="15" customHeight="1">
      <c r="A5" s="1627" t="s">
        <v>880</v>
      </c>
      <c r="B5" s="1628"/>
      <c r="C5" s="1626"/>
      <c r="D5" s="1626"/>
      <c r="E5" s="1629"/>
      <c r="F5" s="1626"/>
    </row>
    <row r="6" spans="1:6" s="1265" customFormat="1" ht="5.0999999999999996" customHeight="1">
      <c r="A6" s="1270"/>
      <c r="B6" s="1270"/>
      <c r="C6" s="1271"/>
      <c r="D6" s="1262"/>
      <c r="E6" s="1272"/>
      <c r="F6" s="1273"/>
    </row>
    <row r="7" spans="1:6" s="1265" customFormat="1" ht="12">
      <c r="A7" s="1271"/>
      <c r="B7" s="1270"/>
      <c r="C7" s="1271"/>
      <c r="D7" s="2201"/>
      <c r="E7" s="2202"/>
      <c r="F7" s="2203"/>
    </row>
    <row r="8" spans="1:6" s="1277" customFormat="1" ht="15" customHeight="1">
      <c r="A8" s="1274" t="s">
        <v>0</v>
      </c>
      <c r="B8" s="1274" t="s">
        <v>2</v>
      </c>
      <c r="C8" s="1274" t="s">
        <v>3</v>
      </c>
      <c r="D8" s="1274" t="s">
        <v>4</v>
      </c>
      <c r="E8" s="1275" t="s">
        <v>5</v>
      </c>
      <c r="F8" s="1276" t="s">
        <v>6</v>
      </c>
    </row>
    <row r="9" spans="1:6">
      <c r="A9" s="1630"/>
      <c r="B9" s="1631"/>
      <c r="C9" s="1631"/>
      <c r="D9" s="1632"/>
      <c r="E9" s="1633"/>
      <c r="F9" s="1634"/>
    </row>
    <row r="10" spans="1:6" ht="34.200000000000003">
      <c r="A10" s="1635" t="s">
        <v>1564</v>
      </c>
      <c r="B10" s="1636" t="s">
        <v>1790</v>
      </c>
      <c r="C10" s="1631"/>
      <c r="D10" s="1637"/>
      <c r="E10" s="1633"/>
      <c r="F10" s="1638"/>
    </row>
    <row r="11" spans="1:6">
      <c r="A11" s="1630"/>
      <c r="B11" s="1631"/>
      <c r="C11" s="1631"/>
      <c r="D11" s="1639"/>
      <c r="E11" s="1638"/>
      <c r="F11" s="1638"/>
    </row>
    <row r="12" spans="1:6" ht="22.8">
      <c r="A12" s="1635" t="s">
        <v>1564</v>
      </c>
      <c r="B12" s="1636" t="s">
        <v>1565</v>
      </c>
      <c r="C12" s="1631"/>
      <c r="D12" s="1640"/>
      <c r="E12" s="1638"/>
      <c r="F12" s="1638"/>
    </row>
    <row r="13" spans="1:6">
      <c r="A13" s="1630"/>
      <c r="B13" s="1636" t="s">
        <v>1566</v>
      </c>
      <c r="C13" s="1631"/>
      <c r="D13" s="1640"/>
      <c r="E13" s="1638"/>
      <c r="F13" s="1638"/>
    </row>
    <row r="14" spans="1:6">
      <c r="A14" s="1635" t="s">
        <v>1564</v>
      </c>
      <c r="B14" s="1636" t="s">
        <v>1567</v>
      </c>
      <c r="C14" s="1631"/>
      <c r="D14" s="1640"/>
      <c r="E14" s="1638"/>
      <c r="F14" s="1638"/>
    </row>
    <row r="15" spans="1:6">
      <c r="A15" s="1630"/>
      <c r="B15" s="1636" t="s">
        <v>1568</v>
      </c>
      <c r="C15" s="1641" t="s">
        <v>60</v>
      </c>
      <c r="D15" s="1642">
        <f>(0.15*510*14.2)+(1000*0.15*10.8)</f>
        <v>2706.3</v>
      </c>
      <c r="E15" s="1643"/>
      <c r="F15" s="1643"/>
    </row>
    <row r="16" spans="1:6">
      <c r="A16" s="1630"/>
      <c r="B16" s="1636"/>
      <c r="C16" s="1631"/>
      <c r="D16" s="1640"/>
      <c r="E16" s="1638"/>
      <c r="F16" s="1643"/>
    </row>
    <row r="17" spans="1:10" ht="12.75" customHeight="1">
      <c r="A17" s="1635" t="s">
        <v>1564</v>
      </c>
      <c r="B17" s="1636" t="s">
        <v>1569</v>
      </c>
      <c r="C17" s="1631"/>
      <c r="D17" s="1644"/>
      <c r="E17" s="1643"/>
      <c r="F17" s="1643"/>
    </row>
    <row r="18" spans="1:10">
      <c r="A18" s="1630"/>
      <c r="B18" s="1636" t="s">
        <v>1566</v>
      </c>
      <c r="C18" s="1641"/>
      <c r="D18" s="1644"/>
      <c r="E18" s="1643"/>
      <c r="F18" s="1643"/>
    </row>
    <row r="19" spans="1:10">
      <c r="A19" s="1630"/>
      <c r="B19" s="1636" t="s">
        <v>1570</v>
      </c>
      <c r="C19" s="1631"/>
      <c r="D19" s="1644"/>
      <c r="E19" s="1643"/>
      <c r="F19" s="1643"/>
    </row>
    <row r="20" spans="1:10">
      <c r="A20" s="1630"/>
      <c r="B20" s="1636" t="s">
        <v>1568</v>
      </c>
      <c r="C20" s="1641" t="s">
        <v>60</v>
      </c>
      <c r="D20" s="1644">
        <f>(0.15*510*13.6)+(1000*0.15*10.2)</f>
        <v>2570.3999999999996</v>
      </c>
      <c r="E20" s="1643"/>
      <c r="F20" s="1643"/>
    </row>
    <row r="21" spans="1:10">
      <c r="A21" s="1630"/>
      <c r="B21" s="1636"/>
      <c r="C21" s="1641"/>
      <c r="D21" s="1644"/>
      <c r="E21" s="1643"/>
      <c r="F21" s="1643"/>
    </row>
    <row r="22" spans="1:10">
      <c r="A22" s="1635" t="s">
        <v>1564</v>
      </c>
      <c r="B22" s="1636" t="s">
        <v>1571</v>
      </c>
      <c r="C22" s="1631"/>
      <c r="D22" s="1644"/>
      <c r="E22" s="1643"/>
      <c r="F22" s="1643"/>
    </row>
    <row r="23" spans="1:10">
      <c r="A23" s="1630"/>
      <c r="B23" s="1636" t="s">
        <v>1572</v>
      </c>
      <c r="C23" s="1632"/>
      <c r="D23" s="1644"/>
      <c r="E23" s="1643"/>
      <c r="F23" s="1643"/>
    </row>
    <row r="24" spans="1:10">
      <c r="A24" s="1630"/>
      <c r="B24" s="1636" t="s">
        <v>1573</v>
      </c>
      <c r="C24" s="1631"/>
      <c r="D24" s="1644"/>
      <c r="E24" s="1643"/>
      <c r="F24" s="1643"/>
    </row>
    <row r="25" spans="1:10">
      <c r="A25" s="1630"/>
      <c r="B25" s="1636" t="s">
        <v>1574</v>
      </c>
      <c r="C25" s="1641" t="s">
        <v>60</v>
      </c>
      <c r="D25" s="1644">
        <f>(510*0.15*13)+(1000*0.15*9.6)</f>
        <v>2434.5</v>
      </c>
      <c r="E25" s="1643"/>
      <c r="F25" s="1643"/>
    </row>
    <row r="26" spans="1:10">
      <c r="A26" s="1630"/>
      <c r="B26" s="1636"/>
      <c r="C26" s="1641"/>
      <c r="D26" s="1644"/>
      <c r="E26" s="1643"/>
      <c r="F26" s="1643"/>
    </row>
    <row r="27" spans="1:10">
      <c r="A27" s="1635">
        <v>34.03</v>
      </c>
      <c r="B27" s="1583" t="s">
        <v>1575</v>
      </c>
      <c r="C27" s="1641"/>
      <c r="D27" s="1644"/>
      <c r="E27" s="1643"/>
      <c r="F27" s="1643"/>
    </row>
    <row r="28" spans="1:10">
      <c r="A28" s="1630"/>
      <c r="B28" s="1583" t="s">
        <v>1576</v>
      </c>
      <c r="C28" s="1631"/>
      <c r="D28" s="1644"/>
      <c r="E28" s="1643"/>
      <c r="F28" s="1643"/>
      <c r="J28" s="1645">
        <f>+D15+D20+D25</f>
        <v>7711.2</v>
      </c>
    </row>
    <row r="29" spans="1:10">
      <c r="A29" s="1630"/>
      <c r="B29" s="1631"/>
      <c r="C29" s="1631"/>
      <c r="D29" s="1644"/>
      <c r="E29" s="1643"/>
      <c r="F29" s="1643"/>
      <c r="J29" s="1645"/>
    </row>
    <row r="30" spans="1:10">
      <c r="A30" s="1630"/>
      <c r="B30" s="1631"/>
      <c r="C30" s="1631"/>
      <c r="D30" s="1646"/>
      <c r="E30" s="1643"/>
      <c r="F30" s="1643"/>
    </row>
    <row r="31" spans="1:10">
      <c r="A31" s="1635" t="s">
        <v>1367</v>
      </c>
      <c r="B31" s="1583" t="s">
        <v>1577</v>
      </c>
      <c r="C31" s="1631"/>
      <c r="D31" s="1646">
        <f>510*4*0.1</f>
        <v>204</v>
      </c>
      <c r="E31" s="1642"/>
      <c r="F31" s="1643"/>
    </row>
    <row r="32" spans="1:10">
      <c r="A32" s="1630"/>
      <c r="B32" s="1583" t="s">
        <v>1578</v>
      </c>
      <c r="C32" s="1632"/>
      <c r="D32" s="1646"/>
      <c r="E32" s="1643"/>
      <c r="F32" s="1643"/>
    </row>
    <row r="33" spans="1:8">
      <c r="A33" s="1630"/>
      <c r="B33" s="1631"/>
      <c r="C33" s="1631"/>
      <c r="D33" s="1646"/>
      <c r="E33" s="1643"/>
      <c r="F33" s="1643"/>
    </row>
    <row r="34" spans="1:8" hidden="1">
      <c r="A34" s="1630"/>
      <c r="B34" s="1636"/>
      <c r="C34" s="1647"/>
      <c r="D34" s="1646"/>
      <c r="E34" s="1643"/>
      <c r="F34" s="1643"/>
    </row>
    <row r="35" spans="1:8" hidden="1">
      <c r="A35" s="1635" t="s">
        <v>1579</v>
      </c>
      <c r="B35" s="1636" t="s">
        <v>1580</v>
      </c>
      <c r="C35" s="1641" t="s">
        <v>877</v>
      </c>
      <c r="D35" s="1646">
        <f>1510*8</f>
        <v>12080</v>
      </c>
      <c r="E35" s="1643"/>
      <c r="F35" s="1643"/>
    </row>
    <row r="36" spans="1:8" hidden="1">
      <c r="A36" s="1630"/>
      <c r="B36" s="1631"/>
      <c r="C36" s="1631"/>
      <c r="D36" s="1646"/>
      <c r="E36" s="1643"/>
      <c r="F36" s="1643"/>
    </row>
    <row r="37" spans="1:8" hidden="1">
      <c r="A37" s="1630"/>
      <c r="B37" s="1636" t="s">
        <v>1581</v>
      </c>
      <c r="C37" s="1641" t="s">
        <v>877</v>
      </c>
      <c r="D37" s="1646">
        <f>+D35</f>
        <v>12080</v>
      </c>
      <c r="E37" s="1643"/>
      <c r="F37" s="1643"/>
    </row>
    <row r="38" spans="1:8" hidden="1">
      <c r="A38" s="1630"/>
      <c r="B38" s="1636"/>
      <c r="C38" s="1641"/>
      <c r="D38" s="1646"/>
      <c r="E38" s="1643"/>
      <c r="F38" s="1643"/>
    </row>
    <row r="39" spans="1:8" hidden="1">
      <c r="A39" s="1630"/>
      <c r="B39" s="1636" t="s">
        <v>1582</v>
      </c>
      <c r="C39" s="1641" t="s">
        <v>877</v>
      </c>
      <c r="D39" s="1646">
        <f>+D37</f>
        <v>12080</v>
      </c>
      <c r="E39" s="1643"/>
      <c r="F39" s="1643"/>
      <c r="G39" s="1645"/>
      <c r="H39" s="1645"/>
    </row>
    <row r="40" spans="1:8">
      <c r="A40" s="1630"/>
      <c r="B40" s="1631"/>
      <c r="C40" s="1631"/>
      <c r="D40" s="1646"/>
      <c r="E40" s="1643"/>
      <c r="F40" s="1643"/>
    </row>
    <row r="41" spans="1:8">
      <c r="A41" s="1635">
        <v>34.11</v>
      </c>
      <c r="B41" s="1636" t="s">
        <v>1583</v>
      </c>
      <c r="C41" s="1641" t="s">
        <v>1425</v>
      </c>
      <c r="D41" s="1648">
        <f>(510*8.6)*0.8/1000*3*7</f>
        <v>73.68480000000001</v>
      </c>
      <c r="E41" s="1643"/>
      <c r="F41" s="1643"/>
    </row>
    <row r="42" spans="1:8">
      <c r="A42" s="1635"/>
      <c r="B42" s="1636"/>
      <c r="C42" s="1641"/>
      <c r="D42" s="1646"/>
      <c r="E42" s="1643"/>
      <c r="F42" s="1643"/>
    </row>
    <row r="43" spans="1:8" ht="12.75" customHeight="1">
      <c r="A43" s="1635"/>
      <c r="B43" s="1636"/>
      <c r="C43" s="1641"/>
      <c r="D43" s="1646"/>
      <c r="E43" s="1643"/>
      <c r="F43" s="1643"/>
    </row>
    <row r="44" spans="1:8">
      <c r="A44" s="1630"/>
      <c r="B44" s="1631" t="s">
        <v>881</v>
      </c>
      <c r="C44" s="1631"/>
      <c r="D44" s="1646"/>
      <c r="E44" s="1643"/>
      <c r="F44" s="1643"/>
    </row>
    <row r="45" spans="1:8">
      <c r="A45" s="1630"/>
      <c r="B45" s="1631"/>
      <c r="C45" s="1631"/>
      <c r="D45" s="1646"/>
      <c r="E45" s="1643"/>
      <c r="F45" s="1643"/>
    </row>
    <row r="46" spans="1:8" ht="39.6">
      <c r="A46" s="1649" t="s">
        <v>1560</v>
      </c>
      <c r="B46" s="1650" t="s">
        <v>1584</v>
      </c>
      <c r="C46" s="1651" t="s">
        <v>1562</v>
      </c>
      <c r="D46" s="1652">
        <f>+(D20+D25+D15)*9</f>
        <v>69400.800000000003</v>
      </c>
      <c r="E46" s="1653"/>
      <c r="F46" s="1643"/>
    </row>
    <row r="47" spans="1:8">
      <c r="A47" s="1635"/>
      <c r="B47" s="1636"/>
      <c r="C47" s="1641"/>
      <c r="D47" s="1646"/>
      <c r="E47" s="1643"/>
      <c r="F47" s="1643"/>
    </row>
    <row r="48" spans="1:8">
      <c r="A48" s="1635"/>
      <c r="B48" s="1636"/>
      <c r="C48" s="1641"/>
      <c r="D48" s="1646"/>
      <c r="E48" s="1643"/>
      <c r="F48" s="1643"/>
    </row>
    <row r="49" spans="1:6">
      <c r="A49" s="1635"/>
      <c r="B49" s="1636"/>
      <c r="C49" s="1641"/>
      <c r="D49" s="1654"/>
      <c r="E49" s="1655"/>
      <c r="F49" s="1643"/>
    </row>
    <row r="50" spans="1:6">
      <c r="A50" s="1630"/>
      <c r="B50" s="1631"/>
      <c r="C50" s="1632"/>
      <c r="D50" s="1654"/>
      <c r="E50" s="1655"/>
      <c r="F50" s="1643"/>
    </row>
    <row r="51" spans="1:6" s="1660" customFormat="1" ht="15" customHeight="1">
      <c r="A51" s="1656">
        <v>3400</v>
      </c>
      <c r="B51" s="1325" t="s">
        <v>1417</v>
      </c>
      <c r="C51" s="1326"/>
      <c r="D51" s="1657"/>
      <c r="E51" s="1658"/>
      <c r="F51" s="1659"/>
    </row>
    <row r="52" spans="1:6">
      <c r="C52" s="1335"/>
      <c r="F52" s="1662"/>
    </row>
    <row r="53" spans="1:6">
      <c r="F53" s="1662"/>
    </row>
    <row r="54" spans="1:6">
      <c r="F54" s="1662"/>
    </row>
    <row r="55" spans="1:6">
      <c r="F55" s="1662"/>
    </row>
    <row r="56" spans="1:6">
      <c r="F56" s="1662"/>
    </row>
    <row r="57" spans="1:6">
      <c r="F57" s="1662"/>
    </row>
    <row r="58" spans="1:6">
      <c r="F58" s="1662"/>
    </row>
    <row r="59" spans="1:6">
      <c r="F59" s="1662"/>
    </row>
    <row r="60" spans="1:6">
      <c r="F60" s="1662"/>
    </row>
    <row r="61" spans="1:6">
      <c r="F61" s="1662"/>
    </row>
    <row r="62" spans="1:6">
      <c r="F62" s="1662"/>
    </row>
    <row r="63" spans="1:6">
      <c r="F63" s="1662"/>
    </row>
    <row r="64" spans="1:6">
      <c r="D64" s="1268"/>
      <c r="E64" s="1268"/>
      <c r="F64" s="1662"/>
    </row>
    <row r="65" spans="4:6">
      <c r="D65" s="1268"/>
      <c r="E65" s="1268"/>
      <c r="F65" s="1662"/>
    </row>
    <row r="66" spans="4:6">
      <c r="D66" s="1268"/>
      <c r="E66" s="1268"/>
      <c r="F66" s="1662"/>
    </row>
    <row r="67" spans="4:6">
      <c r="D67" s="1268"/>
      <c r="E67" s="1268"/>
      <c r="F67" s="1662"/>
    </row>
  </sheetData>
  <mergeCells count="2">
    <mergeCell ref="D7:F7"/>
    <mergeCell ref="A2:B2"/>
  </mergeCells>
  <pageMargins left="0.94488188976377963" right="0.35433070866141736" top="0.78740157480314965" bottom="0.78740157480314965" header="0.51181102362204722" footer="0.51181102362204722"/>
  <pageSetup paperSize="9" scale="90" orientation="portrait" r:id="rId1"/>
  <headerFooter alignWithMargins="0">
    <oddHeader>&amp;CC80.22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Normal="100" zoomScaleSheetLayoutView="100" workbookViewId="0">
      <pane ySplit="8" topLeftCell="A9" activePane="bottomLeft" state="frozen"/>
      <selection activeCell="C1" sqref="C1"/>
      <selection pane="bottomLeft" activeCell="D13" sqref="D13"/>
    </sheetView>
  </sheetViews>
  <sheetFormatPr defaultColWidth="9.109375" defaultRowHeight="13.2"/>
  <cols>
    <col min="1" max="1" width="7.6640625" style="1664" customWidth="1"/>
    <col min="2" max="2" width="63.6640625" style="1664" customWidth="1"/>
    <col min="3" max="3" width="9.33203125" style="1664" customWidth="1"/>
    <col min="4" max="4" width="11.5546875" style="1664" bestFit="1" customWidth="1"/>
    <col min="5" max="5" width="12.6640625" style="1686" customWidth="1"/>
    <col min="6" max="6" width="13.6640625" style="1687" customWidth="1"/>
    <col min="7" max="7" width="8.88671875" style="1256" customWidth="1"/>
    <col min="8" max="16384" width="9.109375" style="1664"/>
  </cols>
  <sheetData>
    <row r="1" spans="1:7" s="1265" customFormat="1" ht="15" customHeight="1">
      <c r="A1" s="2027" t="str">
        <f>+'3400 '!A1</f>
        <v>GREATER LETABA MUNICIPALITY</v>
      </c>
      <c r="B1" s="1261"/>
      <c r="C1" s="1262"/>
      <c r="D1" s="1262"/>
      <c r="E1" s="1262"/>
      <c r="F1" s="1262"/>
      <c r="G1" s="1256"/>
    </row>
    <row r="2" spans="1:7" s="1265" customFormat="1" ht="17.399999999999999" customHeight="1">
      <c r="A2" s="2204" t="str">
        <f>+'3400 '!A2:B2</f>
        <v>CONTRACT NUMBER: GLM015/2025</v>
      </c>
      <c r="B2" s="2220"/>
      <c r="C2" s="1262"/>
      <c r="D2" s="1262"/>
      <c r="E2" s="1262"/>
      <c r="F2" s="1262"/>
      <c r="G2" s="1256"/>
    </row>
    <row r="3" spans="1:7" ht="15" customHeight="1">
      <c r="A3" s="1663" t="s">
        <v>1439</v>
      </c>
      <c r="C3" s="1665"/>
      <c r="D3" s="1665"/>
      <c r="E3" s="1665"/>
      <c r="F3" s="1665"/>
    </row>
    <row r="4" spans="1:7" ht="15" customHeight="1">
      <c r="A4" s="1666" t="s">
        <v>1585</v>
      </c>
      <c r="B4" s="1665"/>
      <c r="C4" s="1665"/>
      <c r="D4" s="1665"/>
      <c r="E4" s="1665"/>
      <c r="F4" s="1665"/>
    </row>
    <row r="5" spans="1:7" ht="15" customHeight="1">
      <c r="A5" s="1667" t="s">
        <v>1586</v>
      </c>
      <c r="D5" s="1665"/>
      <c r="E5" s="1665"/>
      <c r="F5" s="1665"/>
    </row>
    <row r="6" spans="1:7" s="1265" customFormat="1" ht="5.0999999999999996" customHeight="1">
      <c r="A6" s="1270"/>
      <c r="B6" s="1270"/>
      <c r="C6" s="1271"/>
      <c r="D6" s="1271"/>
      <c r="E6" s="1272"/>
      <c r="F6" s="1273"/>
      <c r="G6" s="1256"/>
    </row>
    <row r="7" spans="1:7" s="1265" customFormat="1">
      <c r="A7" s="1668"/>
      <c r="B7" s="1669"/>
      <c r="C7" s="1670"/>
      <c r="D7" s="2201"/>
      <c r="E7" s="2202"/>
      <c r="F7" s="2203"/>
      <c r="G7" s="1256"/>
    </row>
    <row r="8" spans="1:7" s="1277" customFormat="1" ht="15" customHeight="1">
      <c r="A8" s="1274" t="s">
        <v>0</v>
      </c>
      <c r="B8" s="1274" t="s">
        <v>2</v>
      </c>
      <c r="C8" s="1671" t="s">
        <v>3</v>
      </c>
      <c r="D8" s="1274" t="s">
        <v>4</v>
      </c>
      <c r="E8" s="1275" t="s">
        <v>5</v>
      </c>
      <c r="F8" s="1276" t="s">
        <v>6</v>
      </c>
      <c r="G8" s="1256"/>
    </row>
    <row r="9" spans="1:7" s="1268" customFormat="1">
      <c r="A9" s="1655"/>
      <c r="B9" s="1655"/>
      <c r="C9" s="1672"/>
      <c r="D9" s="1673"/>
      <c r="E9" s="1674"/>
      <c r="F9" s="1674"/>
      <c r="G9" s="1256"/>
    </row>
    <row r="10" spans="1:7">
      <c r="A10" s="1643" t="s">
        <v>1587</v>
      </c>
      <c r="B10" s="1643" t="s">
        <v>1588</v>
      </c>
      <c r="C10" s="1675"/>
      <c r="D10" s="1648"/>
      <c r="E10" s="1643"/>
      <c r="F10" s="1643"/>
    </row>
    <row r="11" spans="1:7">
      <c r="A11" s="1643"/>
      <c r="B11" s="1643" t="s">
        <v>1589</v>
      </c>
      <c r="C11" s="1675"/>
      <c r="D11" s="1648"/>
      <c r="E11" s="1643"/>
      <c r="F11" s="1643"/>
    </row>
    <row r="12" spans="1:7">
      <c r="A12" s="1648" t="s">
        <v>1015</v>
      </c>
      <c r="B12" s="1643"/>
      <c r="C12" s="1676"/>
      <c r="D12" s="1648"/>
      <c r="E12" s="1643"/>
      <c r="F12" s="1643"/>
    </row>
    <row r="13" spans="1:7" ht="13.8">
      <c r="A13" s="1643"/>
      <c r="B13" s="1643" t="s">
        <v>1590</v>
      </c>
      <c r="C13" s="1676" t="s">
        <v>1399</v>
      </c>
      <c r="D13" s="1648">
        <f>+'[25]3400 '!D25</f>
        <v>2434.5</v>
      </c>
      <c r="E13" s="1643"/>
      <c r="F13" s="1643"/>
    </row>
    <row r="14" spans="1:7">
      <c r="A14" s="1643"/>
      <c r="B14" s="1643"/>
      <c r="C14" s="1676"/>
      <c r="D14" s="1648"/>
      <c r="E14" s="1643"/>
      <c r="F14" s="1643"/>
    </row>
    <row r="15" spans="1:7" ht="13.8">
      <c r="A15" s="1643"/>
      <c r="B15" s="1643" t="s">
        <v>1591</v>
      </c>
      <c r="C15" s="1676" t="s">
        <v>1399</v>
      </c>
      <c r="D15" s="1648">
        <f>'[25]3400 '!D20</f>
        <v>2570.3999999999996</v>
      </c>
      <c r="E15" s="1643"/>
      <c r="F15" s="1643"/>
    </row>
    <row r="16" spans="1:7">
      <c r="A16" s="1643"/>
      <c r="B16" s="1643"/>
      <c r="C16" s="1676"/>
      <c r="D16" s="1648"/>
      <c r="E16" s="1643"/>
      <c r="F16" s="1643"/>
    </row>
    <row r="17" spans="1:6">
      <c r="A17" s="1643" t="s">
        <v>1592</v>
      </c>
      <c r="B17" s="1643" t="s">
        <v>1593</v>
      </c>
      <c r="C17" s="1676"/>
      <c r="D17" s="1648"/>
      <c r="E17" s="1643"/>
      <c r="F17" s="1643"/>
    </row>
    <row r="18" spans="1:6">
      <c r="A18" s="1643"/>
      <c r="B18" s="1643"/>
      <c r="C18" s="1676"/>
      <c r="D18" s="1648"/>
      <c r="E18" s="1643"/>
      <c r="F18" s="1643"/>
    </row>
    <row r="19" spans="1:6">
      <c r="A19" s="2302" t="s">
        <v>1594</v>
      </c>
      <c r="B19" s="1643" t="s">
        <v>1595</v>
      </c>
      <c r="C19" s="1676" t="s">
        <v>1596</v>
      </c>
      <c r="D19" s="1648">
        <f>(3000*9.1*0.15)*2100*3%/1000</f>
        <v>257.98500000000001</v>
      </c>
      <c r="E19" s="1643"/>
      <c r="F19" s="1643"/>
    </row>
    <row r="20" spans="1:6">
      <c r="A20" s="2302"/>
      <c r="B20" s="1643"/>
      <c r="C20" s="1676"/>
      <c r="D20" s="1648"/>
      <c r="E20" s="1643"/>
      <c r="F20" s="1643"/>
    </row>
    <row r="21" spans="1:6">
      <c r="A21" s="2302"/>
      <c r="B21" s="2303" t="s">
        <v>1597</v>
      </c>
      <c r="C21" s="1676"/>
      <c r="D21" s="1648"/>
      <c r="E21" s="1643"/>
      <c r="F21" s="1643"/>
    </row>
    <row r="22" spans="1:6">
      <c r="A22" s="2302"/>
      <c r="B22" s="1643"/>
      <c r="C22" s="1676"/>
      <c r="D22" s="1648"/>
      <c r="E22" s="1643"/>
      <c r="F22" s="1643"/>
    </row>
    <row r="23" spans="1:6">
      <c r="A23" s="2302"/>
      <c r="B23" s="1643" t="s">
        <v>1598</v>
      </c>
      <c r="C23" s="1676" t="s">
        <v>60</v>
      </c>
      <c r="D23" s="1648">
        <f>200*0.15*8.6</f>
        <v>258</v>
      </c>
      <c r="E23" s="1643"/>
      <c r="F23" s="1643"/>
    </row>
    <row r="24" spans="1:6">
      <c r="A24" s="2302"/>
      <c r="B24" s="1643"/>
      <c r="C24" s="1676"/>
      <c r="D24" s="1648"/>
      <c r="E24" s="1643"/>
      <c r="F24" s="1643"/>
    </row>
    <row r="25" spans="1:6">
      <c r="A25" s="2302"/>
      <c r="B25" s="1643" t="s">
        <v>1599</v>
      </c>
      <c r="C25" s="1676" t="str">
        <f>C23</f>
        <v>m³</v>
      </c>
      <c r="D25" s="1648">
        <f>200*8.8*0.15</f>
        <v>264</v>
      </c>
      <c r="E25" s="1643"/>
      <c r="F25" s="1643"/>
    </row>
    <row r="26" spans="1:6">
      <c r="A26" s="1643"/>
      <c r="B26" s="1643"/>
      <c r="C26" s="1676"/>
      <c r="D26" s="1648"/>
      <c r="E26" s="1643"/>
      <c r="F26" s="1643"/>
    </row>
    <row r="27" spans="1:6">
      <c r="A27" s="1643"/>
      <c r="B27" s="1643"/>
      <c r="C27" s="1676"/>
      <c r="D27" s="1648"/>
      <c r="E27" s="1643"/>
      <c r="F27" s="1643"/>
    </row>
    <row r="28" spans="1:6" ht="13.8">
      <c r="A28" s="1643">
        <v>35.04</v>
      </c>
      <c r="B28" s="1677" t="s">
        <v>1600</v>
      </c>
      <c r="C28" s="1678" t="s">
        <v>1425</v>
      </c>
      <c r="D28" s="1648">
        <f>(1510*8.6)*0.8/1000*3*7</f>
        <v>218.16480000000001</v>
      </c>
      <c r="E28" s="1643"/>
      <c r="F28" s="1643"/>
    </row>
    <row r="29" spans="1:6" ht="13.8">
      <c r="A29" s="1643"/>
      <c r="B29" s="1677" t="s">
        <v>1601</v>
      </c>
      <c r="C29" s="1678"/>
      <c r="D29" s="1648"/>
      <c r="E29" s="1643"/>
      <c r="F29" s="1643"/>
    </row>
    <row r="30" spans="1:6">
      <c r="A30" s="1643"/>
      <c r="B30" s="1643"/>
      <c r="C30" s="1675"/>
      <c r="D30" s="1648"/>
      <c r="E30" s="1643"/>
      <c r="F30" s="1643"/>
    </row>
    <row r="31" spans="1:6">
      <c r="A31" s="1643"/>
      <c r="B31" s="1643"/>
      <c r="C31" s="1675"/>
      <c r="E31" s="1643"/>
      <c r="F31" s="1643"/>
    </row>
    <row r="32" spans="1:6">
      <c r="A32" s="1643"/>
      <c r="B32" s="1643"/>
      <c r="C32" s="1675"/>
      <c r="D32" s="1648"/>
      <c r="E32" s="1643"/>
      <c r="F32" s="1643"/>
    </row>
    <row r="33" spans="1:6">
      <c r="A33" s="1643"/>
      <c r="B33" s="1643"/>
      <c r="C33" s="1675"/>
      <c r="D33" s="1648"/>
      <c r="E33" s="1643"/>
      <c r="F33" s="1643"/>
    </row>
    <row r="34" spans="1:6">
      <c r="A34" s="1643"/>
      <c r="B34" s="1643"/>
      <c r="C34" s="1675"/>
      <c r="D34" s="1648"/>
      <c r="E34" s="1643"/>
      <c r="F34" s="1643"/>
    </row>
    <row r="35" spans="1:6">
      <c r="A35" s="1643"/>
      <c r="B35" s="1643"/>
      <c r="C35" s="1675"/>
      <c r="D35" s="1648"/>
      <c r="E35" s="1643"/>
      <c r="F35" s="1643"/>
    </row>
    <row r="36" spans="1:6" ht="12.75" customHeight="1">
      <c r="A36" s="1643"/>
      <c r="B36" s="1643"/>
      <c r="C36" s="1675"/>
      <c r="D36" s="1648"/>
      <c r="E36" s="1643"/>
      <c r="F36" s="1643"/>
    </row>
    <row r="37" spans="1:6">
      <c r="A37" s="1643"/>
      <c r="B37" s="1643"/>
      <c r="C37" s="1675"/>
      <c r="D37" s="1648"/>
      <c r="E37" s="1643"/>
      <c r="F37" s="1643"/>
    </row>
    <row r="38" spans="1:6">
      <c r="A38" s="1643"/>
      <c r="B38" s="1643"/>
      <c r="C38" s="1675"/>
      <c r="D38" s="1648"/>
      <c r="E38" s="1643"/>
      <c r="F38" s="1643"/>
    </row>
    <row r="39" spans="1:6">
      <c r="A39" s="1643"/>
      <c r="B39" s="1643"/>
      <c r="C39" s="1675"/>
      <c r="D39" s="1648"/>
      <c r="E39" s="1643"/>
      <c r="F39" s="1643"/>
    </row>
    <row r="40" spans="1:6">
      <c r="A40" s="1643"/>
      <c r="B40" s="1643"/>
      <c r="C40" s="1675"/>
      <c r="D40" s="1648"/>
      <c r="E40" s="1643"/>
      <c r="F40" s="1643"/>
    </row>
    <row r="41" spans="1:6">
      <c r="A41" s="1643"/>
      <c r="B41" s="1643"/>
      <c r="C41" s="1675"/>
      <c r="D41" s="1648"/>
      <c r="E41" s="1643"/>
      <c r="F41" s="1643"/>
    </row>
    <row r="42" spans="1:6">
      <c r="A42" s="1643"/>
      <c r="B42" s="1643"/>
      <c r="C42" s="1675"/>
      <c r="D42" s="1648"/>
      <c r="E42" s="1643"/>
      <c r="F42" s="1643"/>
    </row>
    <row r="43" spans="1:6">
      <c r="A43" s="1643"/>
      <c r="B43" s="1643"/>
      <c r="C43" s="1675"/>
      <c r="D43" s="1648"/>
      <c r="E43" s="1643"/>
      <c r="F43" s="1643"/>
    </row>
    <row r="44" spans="1:6">
      <c r="A44" s="1643"/>
      <c r="B44" s="1643"/>
      <c r="C44" s="1675"/>
      <c r="D44" s="1648"/>
      <c r="E44" s="1643"/>
      <c r="F44" s="1643"/>
    </row>
    <row r="45" spans="1:6">
      <c r="A45" s="1643"/>
      <c r="B45" s="1643"/>
      <c r="C45" s="1675"/>
      <c r="D45" s="1648"/>
      <c r="E45" s="1643"/>
      <c r="F45" s="1643"/>
    </row>
    <row r="46" spans="1:6">
      <c r="A46" s="1643"/>
      <c r="B46" s="1643"/>
      <c r="C46" s="1675"/>
      <c r="D46" s="1648"/>
      <c r="E46" s="1643"/>
      <c r="F46" s="1643"/>
    </row>
    <row r="47" spans="1:6">
      <c r="A47" s="1643"/>
      <c r="B47" s="1643"/>
      <c r="C47" s="1675"/>
      <c r="D47" s="1648"/>
      <c r="E47" s="1643"/>
      <c r="F47" s="1643"/>
    </row>
    <row r="48" spans="1:6">
      <c r="A48" s="1643"/>
      <c r="B48" s="1643"/>
      <c r="C48" s="1675"/>
      <c r="D48" s="1648"/>
      <c r="E48" s="1643"/>
      <c r="F48" s="1643"/>
    </row>
    <row r="49" spans="1:6">
      <c r="A49" s="1643"/>
      <c r="B49" s="1643"/>
      <c r="C49" s="1675"/>
      <c r="D49" s="1648"/>
      <c r="E49" s="1643"/>
      <c r="F49" s="1643"/>
    </row>
    <row r="50" spans="1:6">
      <c r="A50" s="1643"/>
      <c r="B50" s="1643"/>
      <c r="C50" s="1675"/>
      <c r="D50" s="1648"/>
      <c r="E50" s="1643"/>
      <c r="F50" s="1643"/>
    </row>
    <row r="51" spans="1:6">
      <c r="A51" s="1643"/>
      <c r="B51" s="1643"/>
      <c r="C51" s="1675"/>
      <c r="D51" s="1648"/>
      <c r="E51" s="1643"/>
      <c r="F51" s="1643"/>
    </row>
    <row r="52" spans="1:6">
      <c r="A52" s="1643"/>
      <c r="B52" s="1643"/>
      <c r="C52" s="1675"/>
      <c r="D52" s="1648"/>
      <c r="E52" s="1643"/>
      <c r="F52" s="1643"/>
    </row>
    <row r="53" spans="1:6">
      <c r="A53" s="1643"/>
      <c r="B53" s="1643"/>
      <c r="C53" s="1675"/>
      <c r="D53" s="1648"/>
      <c r="E53" s="1643"/>
      <c r="F53" s="1643"/>
    </row>
    <row r="54" spans="1:6">
      <c r="A54" s="1643"/>
      <c r="B54" s="1643"/>
      <c r="C54" s="1675"/>
      <c r="D54" s="1648"/>
      <c r="E54" s="1643"/>
      <c r="F54" s="1643"/>
    </row>
    <row r="55" spans="1:6">
      <c r="A55" s="1643"/>
      <c r="B55" s="1643"/>
      <c r="C55" s="1675"/>
      <c r="D55" s="1648"/>
      <c r="E55" s="1643"/>
      <c r="F55" s="1643"/>
    </row>
    <row r="56" spans="1:6">
      <c r="A56" s="1643"/>
      <c r="B56" s="1643"/>
      <c r="C56" s="1675"/>
      <c r="D56" s="1648"/>
      <c r="E56" s="1643"/>
      <c r="F56" s="1643"/>
    </row>
    <row r="57" spans="1:6">
      <c r="A57" s="1643"/>
      <c r="B57" s="1643"/>
      <c r="C57" s="1675"/>
      <c r="D57" s="1648"/>
      <c r="E57" s="1643"/>
      <c r="F57" s="1643"/>
    </row>
    <row r="58" spans="1:6">
      <c r="A58" s="1643"/>
      <c r="B58" s="1643"/>
      <c r="C58" s="1675"/>
      <c r="D58" s="1648"/>
      <c r="E58" s="1643"/>
      <c r="F58" s="1643"/>
    </row>
    <row r="59" spans="1:6">
      <c r="A59" s="1643"/>
      <c r="B59" s="1643"/>
      <c r="C59" s="1675"/>
      <c r="D59" s="1648"/>
      <c r="E59" s="1643"/>
      <c r="F59" s="1643"/>
    </row>
    <row r="60" spans="1:6">
      <c r="A60" s="1643"/>
      <c r="B60" s="1643"/>
      <c r="C60" s="1675"/>
      <c r="D60" s="1648"/>
      <c r="E60" s="1643"/>
      <c r="F60" s="1643"/>
    </row>
    <row r="61" spans="1:6">
      <c r="A61" s="1643"/>
      <c r="B61" s="1643"/>
      <c r="C61" s="1675"/>
      <c r="D61" s="1648"/>
      <c r="E61" s="1643"/>
      <c r="F61" s="1643"/>
    </row>
    <row r="62" spans="1:6">
      <c r="A62" s="1643"/>
      <c r="B62" s="1643"/>
      <c r="C62" s="1675"/>
      <c r="D62" s="1648"/>
      <c r="E62" s="1643"/>
      <c r="F62" s="1643"/>
    </row>
    <row r="63" spans="1:6">
      <c r="A63" s="1643"/>
      <c r="B63" s="1643"/>
      <c r="C63" s="1675"/>
      <c r="D63" s="1648"/>
      <c r="E63" s="1643"/>
      <c r="F63" s="1643"/>
    </row>
    <row r="64" spans="1:6">
      <c r="A64" s="1655"/>
      <c r="B64" s="1655"/>
      <c r="C64" s="1679"/>
      <c r="D64" s="1680"/>
      <c r="E64" s="1655"/>
      <c r="F64" s="1655"/>
    </row>
    <row r="65" spans="1:7">
      <c r="A65" s="1655"/>
      <c r="B65" s="1655"/>
      <c r="C65" s="1679"/>
      <c r="D65" s="1680"/>
      <c r="E65" s="1655"/>
      <c r="F65" s="1655"/>
    </row>
    <row r="66" spans="1:7">
      <c r="A66" s="1655"/>
      <c r="B66" s="1655"/>
      <c r="C66" s="1679"/>
      <c r="D66" s="1680"/>
      <c r="E66" s="1655"/>
      <c r="F66" s="1655"/>
    </row>
    <row r="67" spans="1:7">
      <c r="A67" s="1655"/>
      <c r="B67" s="1655"/>
      <c r="C67" s="1679"/>
      <c r="D67" s="1680"/>
      <c r="E67" s="1655"/>
      <c r="F67" s="1655"/>
    </row>
    <row r="68" spans="1:7">
      <c r="A68" s="1655"/>
      <c r="B68" s="1655"/>
      <c r="C68" s="1679"/>
      <c r="D68" s="1681"/>
      <c r="E68" s="1655"/>
      <c r="F68" s="1655"/>
    </row>
    <row r="69" spans="1:7" s="1684" customFormat="1" ht="15" customHeight="1">
      <c r="A69" s="1658" t="s">
        <v>1602</v>
      </c>
      <c r="B69" s="1658" t="s">
        <v>1417</v>
      </c>
      <c r="C69" s="1682"/>
      <c r="D69" s="1683"/>
      <c r="E69" s="1658"/>
      <c r="F69" s="1659"/>
      <c r="G69" s="1256"/>
    </row>
    <row r="70" spans="1:7">
      <c r="C70" s="1685"/>
    </row>
  </sheetData>
  <mergeCells count="2">
    <mergeCell ref="D7:F7"/>
    <mergeCell ref="A2:B2"/>
  </mergeCells>
  <pageMargins left="0.94488188976377963" right="0.35433070866141736" top="0.78740157480314965" bottom="0.78740157480314965" header="0.51181102362204722" footer="0.51181102362204722"/>
  <pageSetup paperSize="9" scale="74" orientation="portrait" r:id="rId1"/>
  <headerFooter alignWithMargins="0">
    <oddHeader>&amp;CC80.23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60" zoomScaleNormal="110" workbookViewId="0">
      <selection activeCell="P39" sqref="P39"/>
    </sheetView>
  </sheetViews>
  <sheetFormatPr defaultRowHeight="13.2"/>
  <cols>
    <col min="1" max="1" width="8.88671875" style="1256"/>
    <col min="2" max="2" width="8.77734375" style="1256" customWidth="1"/>
    <col min="3" max="3" width="35.6640625" style="1256" customWidth="1"/>
    <col min="4" max="4" width="16" style="1256" customWidth="1"/>
    <col min="5" max="5" width="14.77734375" style="1256" customWidth="1"/>
    <col min="6" max="6" width="17" style="1256" customWidth="1"/>
    <col min="7" max="7" width="17.6640625" style="1256" customWidth="1"/>
    <col min="8" max="11" width="0" style="1256" hidden="1" customWidth="1"/>
    <col min="12" max="16384" width="8.88671875" style="1256"/>
  </cols>
  <sheetData>
    <row r="1" spans="1:11">
      <c r="A1" s="2027" t="str">
        <f>+'3500'!A1</f>
        <v>GREATER LETABA MUNICIPALITY</v>
      </c>
      <c r="B1" s="1261"/>
    </row>
    <row r="2" spans="1:11">
      <c r="A2" s="2204" t="str">
        <f>+'3500'!A2:B2</f>
        <v>CONTRACT NUMBER: GLM015/2025</v>
      </c>
      <c r="B2" s="2220"/>
      <c r="C2" s="2220"/>
    </row>
    <row r="3" spans="1:11">
      <c r="A3" s="1663" t="s">
        <v>1439</v>
      </c>
      <c r="B3" s="1664"/>
    </row>
    <row r="4" spans="1:11" ht="13.8">
      <c r="A4" s="1666" t="s">
        <v>1603</v>
      </c>
      <c r="B4" s="1665"/>
    </row>
    <row r="5" spans="1:11">
      <c r="A5" s="1667" t="s">
        <v>1604</v>
      </c>
      <c r="B5" s="1664"/>
    </row>
    <row r="6" spans="1:11" ht="13.8" thickBot="1"/>
    <row r="7" spans="1:11" ht="27.6">
      <c r="A7" s="2307" t="s">
        <v>0</v>
      </c>
      <c r="B7" s="2304" t="s">
        <v>2</v>
      </c>
      <c r="C7" s="2223" t="s">
        <v>3</v>
      </c>
      <c r="D7" s="1688" t="s">
        <v>3</v>
      </c>
      <c r="E7" s="1689" t="s">
        <v>4</v>
      </c>
      <c r="F7" s="1690" t="s">
        <v>5</v>
      </c>
      <c r="G7" s="1691" t="s">
        <v>6</v>
      </c>
      <c r="H7" s="1692" t="s">
        <v>1605</v>
      </c>
      <c r="I7" s="1692" t="s">
        <v>1606</v>
      </c>
      <c r="J7" s="1692" t="s">
        <v>1607</v>
      </c>
      <c r="K7" s="1693" t="s">
        <v>683</v>
      </c>
    </row>
    <row r="8" spans="1:11" ht="13.8">
      <c r="A8" s="2308"/>
      <c r="B8" s="1694"/>
      <c r="C8" s="1694"/>
      <c r="D8" s="1695"/>
      <c r="E8" s="1696"/>
      <c r="F8" s="1695"/>
      <c r="G8" s="1697"/>
      <c r="H8" s="1698"/>
      <c r="I8" s="1698"/>
      <c r="J8" s="1698"/>
      <c r="K8" s="1699"/>
    </row>
    <row r="9" spans="1:11" ht="13.8">
      <c r="A9" s="2309">
        <v>3600</v>
      </c>
      <c r="B9" s="2305" t="s">
        <v>1604</v>
      </c>
      <c r="C9" s="2222"/>
      <c r="D9" s="1700"/>
      <c r="E9" s="1696"/>
      <c r="F9" s="1700"/>
      <c r="G9" s="1701"/>
      <c r="H9" s="1698"/>
      <c r="I9" s="1698"/>
      <c r="J9" s="1698"/>
      <c r="K9" s="1699"/>
    </row>
    <row r="10" spans="1:11" ht="13.8">
      <c r="A10" s="2310"/>
      <c r="B10" s="1694"/>
      <c r="C10" s="1583"/>
      <c r="D10" s="1700"/>
      <c r="E10" s="1696"/>
      <c r="F10" s="1700"/>
      <c r="G10" s="1701"/>
      <c r="H10" s="1698"/>
      <c r="I10" s="1698"/>
      <c r="J10" s="1698"/>
      <c r="K10" s="1699"/>
    </row>
    <row r="11" spans="1:11" ht="13.8">
      <c r="A11" s="2310">
        <v>36.01</v>
      </c>
      <c r="B11" s="2305" t="s">
        <v>1608</v>
      </c>
      <c r="C11" s="2222"/>
      <c r="D11" s="1700"/>
      <c r="E11" s="1696"/>
      <c r="F11" s="1700"/>
      <c r="G11" s="1701"/>
      <c r="H11" s="1698"/>
      <c r="I11" s="1698"/>
      <c r="J11" s="1698"/>
      <c r="K11" s="1699"/>
    </row>
    <row r="12" spans="1:11" ht="24">
      <c r="A12" s="2310"/>
      <c r="B12" s="1694"/>
      <c r="C12" s="1702" t="s">
        <v>1609</v>
      </c>
      <c r="D12" s="1700"/>
      <c r="E12" s="1696"/>
      <c r="F12" s="1700"/>
      <c r="G12" s="1701"/>
      <c r="H12" s="1698"/>
      <c r="I12" s="1698"/>
      <c r="J12" s="1698"/>
      <c r="K12" s="1699"/>
    </row>
    <row r="13" spans="1:11" ht="13.8">
      <c r="A13" s="2310"/>
      <c r="B13" s="1694"/>
      <c r="C13" s="1581" t="s">
        <v>1610</v>
      </c>
      <c r="D13" s="1700"/>
      <c r="E13" s="1696"/>
      <c r="F13" s="1700"/>
      <c r="G13" s="1701"/>
      <c r="H13" s="1698"/>
      <c r="I13" s="1698"/>
      <c r="J13" s="1698"/>
      <c r="K13" s="1699"/>
    </row>
    <row r="14" spans="1:11" ht="13.8">
      <c r="A14" s="2310"/>
      <c r="B14" s="1694"/>
      <c r="C14" s="1583"/>
      <c r="D14" s="1700"/>
      <c r="E14" s="1696"/>
      <c r="F14" s="1700"/>
      <c r="G14" s="1701"/>
      <c r="H14" s="1698"/>
      <c r="I14" s="1698"/>
      <c r="J14" s="1698"/>
      <c r="K14" s="1699"/>
    </row>
    <row r="15" spans="1:11" ht="13.8">
      <c r="A15" s="2310"/>
      <c r="B15" s="2306" t="s">
        <v>1611</v>
      </c>
      <c r="C15" s="2221"/>
      <c r="D15" s="1454" t="s">
        <v>1399</v>
      </c>
      <c r="E15" s="1703">
        <f>(600*8*0.15)-E25</f>
        <v>547.95000000000005</v>
      </c>
      <c r="F15" s="1704"/>
      <c r="G15" s="1701"/>
      <c r="H15" s="1698">
        <v>0</v>
      </c>
      <c r="I15" s="1698"/>
      <c r="J15" s="1698">
        <f>SUM(H15+I15)</f>
        <v>0</v>
      </c>
      <c r="K15" s="1699">
        <f>J15*F15</f>
        <v>0</v>
      </c>
    </row>
    <row r="16" spans="1:11" ht="13.8">
      <c r="A16" s="2310"/>
      <c r="B16" s="2306" t="s">
        <v>1612</v>
      </c>
      <c r="C16" s="2221"/>
      <c r="D16" s="1454"/>
      <c r="E16" s="1703"/>
      <c r="F16" s="1704"/>
      <c r="G16" s="1701"/>
      <c r="H16" s="1698"/>
      <c r="I16" s="1698"/>
      <c r="J16" s="1698"/>
      <c r="K16" s="1699"/>
    </row>
    <row r="17" spans="1:11" ht="13.8">
      <c r="A17" s="2310"/>
      <c r="B17" s="1694"/>
      <c r="C17" s="1583"/>
      <c r="D17" s="1454"/>
      <c r="E17" s="1703"/>
      <c r="F17" s="1704"/>
      <c r="G17" s="1701"/>
      <c r="H17" s="1698"/>
      <c r="I17" s="1698"/>
      <c r="J17" s="1698"/>
      <c r="K17" s="1699"/>
    </row>
    <row r="18" spans="1:11" ht="13.8">
      <c r="A18" s="2310">
        <v>36.020000000000003</v>
      </c>
      <c r="B18" s="2305" t="s">
        <v>1613</v>
      </c>
      <c r="C18" s="2222"/>
      <c r="D18" s="1454"/>
      <c r="E18" s="1703"/>
      <c r="F18" s="1704"/>
      <c r="G18" s="1701"/>
      <c r="H18" s="1698"/>
      <c r="I18" s="1698"/>
      <c r="J18" s="1698"/>
      <c r="K18" s="1699"/>
    </row>
    <row r="19" spans="1:11" ht="13.8">
      <c r="A19" s="2310"/>
      <c r="B19" s="2306" t="s">
        <v>1614</v>
      </c>
      <c r="C19" s="2221"/>
      <c r="D19" s="1454" t="s">
        <v>1399</v>
      </c>
      <c r="E19" s="1703">
        <f>+E15*80%</f>
        <v>438.36000000000007</v>
      </c>
      <c r="F19" s="1704"/>
      <c r="G19" s="1701"/>
      <c r="H19" s="1698">
        <v>0</v>
      </c>
      <c r="I19" s="1698"/>
      <c r="J19" s="1698">
        <f>SUM(H19+I19)</f>
        <v>0</v>
      </c>
      <c r="K19" s="1699">
        <f>J19*F19</f>
        <v>0</v>
      </c>
    </row>
    <row r="20" spans="1:11" ht="13.8">
      <c r="A20" s="2310"/>
      <c r="B20" s="2306" t="s">
        <v>1615</v>
      </c>
      <c r="C20" s="2221"/>
      <c r="D20" s="1454"/>
      <c r="E20" s="1703"/>
      <c r="F20" s="1704"/>
      <c r="G20" s="1701"/>
      <c r="H20" s="1698"/>
      <c r="I20" s="1698"/>
      <c r="J20" s="1698"/>
      <c r="K20" s="1699"/>
    </row>
    <row r="21" spans="1:11" ht="13.8">
      <c r="A21" s="2310"/>
      <c r="B21" s="1694"/>
      <c r="C21" s="1583"/>
      <c r="D21" s="1454"/>
      <c r="E21" s="1703"/>
      <c r="F21" s="1704"/>
      <c r="G21" s="1701"/>
      <c r="H21" s="1698"/>
      <c r="I21" s="1698"/>
      <c r="J21" s="1698"/>
      <c r="K21" s="1699"/>
    </row>
    <row r="22" spans="1:11" ht="13.8">
      <c r="A22" s="2310">
        <v>36.03</v>
      </c>
      <c r="B22" s="2305" t="s">
        <v>1616</v>
      </c>
      <c r="C22" s="2222"/>
      <c r="D22" s="1454"/>
      <c r="E22" s="1703"/>
      <c r="F22" s="1704"/>
      <c r="G22" s="1701"/>
      <c r="H22" s="1698"/>
      <c r="I22" s="1698"/>
      <c r="J22" s="1698"/>
      <c r="K22" s="1699"/>
    </row>
    <row r="23" spans="1:11" ht="13.8">
      <c r="A23" s="2311"/>
      <c r="B23" s="2305" t="s">
        <v>1617</v>
      </c>
      <c r="C23" s="2222"/>
      <c r="D23" s="1454"/>
      <c r="E23" s="1703"/>
      <c r="F23" s="1704"/>
      <c r="G23" s="1701"/>
      <c r="H23" s="1698"/>
      <c r="I23" s="1698"/>
      <c r="J23" s="1698"/>
      <c r="K23" s="1699"/>
    </row>
    <row r="24" spans="1:11" ht="13.8">
      <c r="A24" s="2311"/>
      <c r="B24" s="1694"/>
      <c r="C24" s="1583"/>
      <c r="D24" s="1454"/>
      <c r="E24" s="1703"/>
      <c r="F24" s="1704"/>
      <c r="G24" s="1701"/>
      <c r="H24" s="1698"/>
      <c r="I24" s="1698"/>
      <c r="J24" s="1698"/>
      <c r="K24" s="1699"/>
    </row>
    <row r="25" spans="1:11" ht="13.8">
      <c r="A25" s="2311"/>
      <c r="B25" s="2306" t="s">
        <v>1611</v>
      </c>
      <c r="C25" s="2221"/>
      <c r="D25" s="1454" t="s">
        <v>1399</v>
      </c>
      <c r="E25" s="1703">
        <f>310*3.7*0.15</f>
        <v>172.04999999999998</v>
      </c>
      <c r="F25" s="1704"/>
      <c r="G25" s="1701"/>
      <c r="H25" s="1698">
        <v>0</v>
      </c>
      <c r="I25" s="1698"/>
      <c r="J25" s="1698">
        <f>SUM(H25+I25)</f>
        <v>0</v>
      </c>
      <c r="K25" s="1699">
        <f>J25*F25</f>
        <v>0</v>
      </c>
    </row>
    <row r="26" spans="1:11" ht="13.8">
      <c r="A26" s="2311"/>
      <c r="B26" s="2306" t="s">
        <v>1612</v>
      </c>
      <c r="C26" s="2221"/>
      <c r="D26" s="1705"/>
      <c r="E26" s="1703"/>
      <c r="F26" s="1705"/>
      <c r="G26" s="1701"/>
      <c r="H26" s="1698"/>
      <c r="I26" s="1698"/>
      <c r="J26" s="1698"/>
      <c r="K26" s="1699"/>
    </row>
    <row r="27" spans="1:11" ht="13.8">
      <c r="A27" s="2311"/>
      <c r="B27" s="1706"/>
      <c r="C27" s="1706"/>
      <c r="D27" s="1705"/>
      <c r="E27" s="1703"/>
      <c r="F27" s="1705"/>
      <c r="G27" s="1701"/>
      <c r="H27" s="1698"/>
      <c r="I27" s="1698"/>
      <c r="J27" s="1698"/>
      <c r="K27" s="1699"/>
    </row>
    <row r="28" spans="1:11" ht="13.8">
      <c r="A28" s="2311"/>
      <c r="B28" s="1706"/>
      <c r="C28" s="1706"/>
      <c r="D28" s="1705"/>
      <c r="E28" s="1703"/>
      <c r="F28" s="1705"/>
      <c r="G28" s="1701"/>
      <c r="H28" s="1698"/>
      <c r="I28" s="1698"/>
      <c r="J28" s="1698"/>
      <c r="K28" s="1699"/>
    </row>
    <row r="29" spans="1:11" ht="13.8">
      <c r="A29" s="2311"/>
      <c r="B29" s="1706"/>
      <c r="C29" s="1706"/>
      <c r="D29" s="1705"/>
      <c r="E29" s="1703"/>
      <c r="F29" s="1705"/>
      <c r="G29" s="1701"/>
      <c r="H29" s="1698"/>
      <c r="I29" s="1698"/>
      <c r="J29" s="1698"/>
      <c r="K29" s="1699"/>
    </row>
    <row r="30" spans="1:11" ht="13.8">
      <c r="A30" s="2311"/>
      <c r="B30" s="1706"/>
      <c r="C30" s="1706"/>
      <c r="D30" s="1705"/>
      <c r="E30" s="1703"/>
      <c r="F30" s="1705"/>
      <c r="G30" s="1701"/>
      <c r="H30" s="1698"/>
      <c r="I30" s="1698"/>
      <c r="J30" s="1698"/>
      <c r="K30" s="1699"/>
    </row>
    <row r="31" spans="1:11" ht="13.8">
      <c r="A31" s="2311"/>
      <c r="B31" s="1706"/>
      <c r="C31" s="1706"/>
      <c r="D31" s="1705"/>
      <c r="E31" s="1703"/>
      <c r="F31" s="1705"/>
      <c r="G31" s="1701"/>
      <c r="H31" s="1698"/>
      <c r="I31" s="1698"/>
      <c r="J31" s="1698"/>
      <c r="K31" s="1699"/>
    </row>
    <row r="32" spans="1:11" ht="13.8">
      <c r="A32" s="2311"/>
      <c r="B32" s="1706"/>
      <c r="C32" s="1706"/>
      <c r="D32" s="1705"/>
      <c r="E32" s="1703"/>
      <c r="F32" s="1705"/>
      <c r="G32" s="1701"/>
      <c r="H32" s="1698"/>
      <c r="I32" s="1698"/>
      <c r="J32" s="1698"/>
      <c r="K32" s="1699"/>
    </row>
    <row r="33" spans="1:11" ht="13.8">
      <c r="A33" s="2312"/>
      <c r="B33" s="1707"/>
      <c r="C33" s="1707"/>
      <c r="D33" s="1708"/>
      <c r="E33" s="1709"/>
      <c r="F33" s="1708"/>
      <c r="G33" s="1710"/>
      <c r="H33" s="1698"/>
      <c r="I33" s="1698"/>
      <c r="J33" s="1698"/>
      <c r="K33" s="1699"/>
    </row>
    <row r="34" spans="1:11" ht="13.8">
      <c r="A34" s="2312"/>
      <c r="B34" s="1707"/>
      <c r="C34" s="1707"/>
      <c r="D34" s="1711"/>
      <c r="E34" s="1712"/>
      <c r="F34" s="1711"/>
      <c r="G34" s="1710"/>
      <c r="H34" s="1698"/>
      <c r="I34" s="1698"/>
      <c r="J34" s="1698"/>
      <c r="K34" s="1699"/>
    </row>
    <row r="35" spans="1:11" ht="13.8">
      <c r="A35" s="2312"/>
      <c r="B35" s="1707"/>
      <c r="C35" s="1707"/>
      <c r="D35" s="1711"/>
      <c r="E35" s="1712"/>
      <c r="F35" s="1711"/>
      <c r="G35" s="1710"/>
      <c r="H35" s="1698"/>
      <c r="I35" s="1698"/>
      <c r="J35" s="1698"/>
      <c r="K35" s="1699"/>
    </row>
    <row r="36" spans="1:11" ht="14.4" thickBot="1">
      <c r="A36" s="2313"/>
      <c r="B36" s="2315"/>
      <c r="C36" s="2315"/>
      <c r="D36" s="2316"/>
      <c r="E36" s="2317"/>
      <c r="F36" s="2316"/>
      <c r="G36" s="2318"/>
      <c r="H36" s="2314"/>
      <c r="I36" s="1698"/>
      <c r="J36" s="1698"/>
      <c r="K36" s="1699"/>
    </row>
  </sheetData>
  <mergeCells count="13">
    <mergeCell ref="B25:C25"/>
    <mergeCell ref="B26:C26"/>
    <mergeCell ref="B7:C7"/>
    <mergeCell ref="B9:C9"/>
    <mergeCell ref="B11:C11"/>
    <mergeCell ref="B15:C15"/>
    <mergeCell ref="B16:C16"/>
    <mergeCell ref="B18:C18"/>
    <mergeCell ref="A2:C2"/>
    <mergeCell ref="B19:C19"/>
    <mergeCell ref="B20:C20"/>
    <mergeCell ref="B22:C22"/>
    <mergeCell ref="B23:C23"/>
  </mergeCells>
  <pageMargins left="0.70866141732283472" right="0.70866141732283472" top="0.74803149606299213" bottom="0.74803149606299213" header="0.31496062992125984" footer="0.31496062992125984"/>
  <pageSetup paperSize="9" scale="73" orientation="portrait" verticalDpi="0" r:id="rId1"/>
  <headerFooter>
    <oddHeader>&amp;CC80.24</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M16" sqref="M16"/>
    </sheetView>
  </sheetViews>
  <sheetFormatPr defaultRowHeight="13.2"/>
  <cols>
    <col min="1" max="1" width="8.88671875" style="1268"/>
    <col min="2" max="2" width="25.33203125" style="1268" customWidth="1"/>
    <col min="3" max="3" width="12.44140625" style="1268" customWidth="1"/>
    <col min="4" max="4" width="12" style="1268" customWidth="1"/>
    <col min="5" max="5" width="12.6640625" style="1268" customWidth="1"/>
    <col min="6" max="6" width="15.109375" style="1268" customWidth="1"/>
    <col min="7" max="16384" width="8.88671875" style="1256"/>
  </cols>
  <sheetData>
    <row r="1" spans="1:6">
      <c r="A1" s="2032" t="str">
        <f>+'3600'!A1</f>
        <v>GREATER LETABA MUNICIPALITY</v>
      </c>
    </row>
    <row r="2" spans="1:6">
      <c r="A2" s="2208" t="str">
        <f>+'3600'!A2:C2</f>
        <v>CONTRACT NUMBER: GLM015/2025</v>
      </c>
      <c r="B2" s="2224"/>
    </row>
    <row r="3" spans="1:6">
      <c r="A3" s="1713" t="s">
        <v>1618</v>
      </c>
      <c r="B3" s="1714"/>
      <c r="C3" s="1715"/>
      <c r="D3" s="1715"/>
      <c r="E3" s="1716"/>
      <c r="F3" s="1717" t="s">
        <v>1780</v>
      </c>
    </row>
    <row r="4" spans="1:6">
      <c r="A4" s="1666" t="s">
        <v>1780</v>
      </c>
      <c r="B4" s="1714"/>
      <c r="C4" s="1715"/>
      <c r="D4" s="1715"/>
      <c r="E4" s="1716"/>
      <c r="F4" s="1717"/>
    </row>
    <row r="5" spans="1:6" ht="13.8" thickBot="1">
      <c r="A5" s="1667" t="s">
        <v>1620</v>
      </c>
      <c r="B5" s="2031"/>
      <c r="C5" s="2031"/>
      <c r="D5" s="2031"/>
      <c r="E5" s="2031"/>
      <c r="F5" s="2031"/>
    </row>
    <row r="6" spans="1:6">
      <c r="A6" s="1718" t="s">
        <v>1619</v>
      </c>
      <c r="B6" s="1719" t="s">
        <v>2</v>
      </c>
      <c r="C6" s="1719" t="s">
        <v>3</v>
      </c>
      <c r="D6" s="1719" t="s">
        <v>4</v>
      </c>
      <c r="E6" s="1719" t="s">
        <v>5</v>
      </c>
      <c r="F6" s="1720" t="s">
        <v>6</v>
      </c>
    </row>
    <row r="7" spans="1:6">
      <c r="A7" s="1721"/>
      <c r="B7" s="1722"/>
      <c r="C7" s="1723"/>
      <c r="D7" s="1723"/>
      <c r="E7" s="1724"/>
      <c r="F7" s="1725"/>
    </row>
    <row r="8" spans="1:6">
      <c r="A8" s="1726"/>
      <c r="B8" s="1727" t="s">
        <v>1620</v>
      </c>
      <c r="C8" s="1728"/>
      <c r="D8" s="1728"/>
      <c r="E8" s="1729"/>
      <c r="F8" s="1730"/>
    </row>
    <row r="9" spans="1:6">
      <c r="A9" s="1731"/>
      <c r="B9" s="1732"/>
      <c r="C9" s="1728"/>
      <c r="D9" s="1728"/>
      <c r="E9" s="1729"/>
      <c r="F9" s="1730"/>
    </row>
    <row r="10" spans="1:6">
      <c r="A10" s="1726" t="s">
        <v>1621</v>
      </c>
      <c r="B10" s="1733" t="s">
        <v>1622</v>
      </c>
      <c r="C10" s="1728"/>
      <c r="D10" s="1728"/>
      <c r="E10" s="1729"/>
      <c r="F10" s="1734"/>
    </row>
    <row r="11" spans="1:6">
      <c r="A11" s="1731"/>
      <c r="B11" s="1732"/>
      <c r="C11" s="1728"/>
      <c r="D11" s="1728"/>
      <c r="E11" s="1729"/>
      <c r="F11" s="1735"/>
    </row>
    <row r="12" spans="1:6">
      <c r="A12" s="1736"/>
      <c r="B12" s="1737" t="s">
        <v>1623</v>
      </c>
      <c r="C12" s="1738" t="s">
        <v>1624</v>
      </c>
      <c r="D12" s="1738">
        <f>510*7.4*0.8*1.1</f>
        <v>3321.1200000000003</v>
      </c>
      <c r="E12" s="1738"/>
      <c r="F12" s="1739"/>
    </row>
    <row r="13" spans="1:6">
      <c r="A13" s="1736"/>
      <c r="B13" s="1737"/>
      <c r="C13" s="1738"/>
      <c r="D13" s="1740"/>
      <c r="E13" s="1738"/>
      <c r="F13" s="1735"/>
    </row>
    <row r="14" spans="1:6">
      <c r="A14" s="1736"/>
      <c r="B14" s="1732"/>
      <c r="C14" s="1741"/>
      <c r="D14" s="1742"/>
      <c r="E14" s="1743"/>
      <c r="F14" s="1735"/>
    </row>
    <row r="15" spans="1:6">
      <c r="A15" s="1744"/>
      <c r="B15" s="1745"/>
      <c r="C15" s="1746"/>
      <c r="D15" s="1741"/>
      <c r="E15" s="1747"/>
      <c r="F15" s="1748"/>
    </row>
    <row r="16" spans="1:6">
      <c r="A16" s="1744"/>
      <c r="B16" s="1749"/>
      <c r="C16" s="1746"/>
      <c r="D16" s="1750"/>
      <c r="E16" s="1747"/>
      <c r="F16" s="1751"/>
    </row>
    <row r="17" spans="1:6">
      <c r="A17" s="1744"/>
      <c r="B17" s="1745"/>
      <c r="C17" s="1746"/>
      <c r="D17" s="1750"/>
      <c r="E17" s="1747"/>
      <c r="F17" s="1751"/>
    </row>
    <row r="18" spans="1:6">
      <c r="A18" s="1744"/>
      <c r="B18" s="1749"/>
      <c r="C18" s="1741"/>
      <c r="D18" s="1741"/>
      <c r="E18" s="1752"/>
      <c r="F18" s="1753"/>
    </row>
    <row r="19" spans="1:6">
      <c r="A19" s="1744"/>
      <c r="B19" s="1745"/>
      <c r="C19" s="1746"/>
      <c r="D19" s="1741"/>
      <c r="E19" s="1747"/>
      <c r="F19" s="1751"/>
    </row>
    <row r="20" spans="1:6">
      <c r="A20" s="1744"/>
      <c r="B20" s="1732"/>
      <c r="C20" s="1754"/>
      <c r="D20" s="1741"/>
      <c r="E20" s="1755"/>
      <c r="F20" s="1753"/>
    </row>
    <row r="21" spans="1:6">
      <c r="A21" s="1744"/>
      <c r="B21" s="1745"/>
      <c r="C21" s="1754"/>
      <c r="D21" s="1741"/>
      <c r="E21" s="1755"/>
      <c r="F21" s="1756"/>
    </row>
    <row r="22" spans="1:6">
      <c r="A22" s="1744"/>
      <c r="B22" s="1757"/>
      <c r="C22" s="1741"/>
      <c r="D22" s="1741"/>
      <c r="E22" s="1752"/>
      <c r="F22" s="1753"/>
    </row>
    <row r="23" spans="1:6">
      <c r="A23" s="1744"/>
      <c r="B23" s="1757"/>
      <c r="C23" s="1741"/>
      <c r="D23" s="1741"/>
      <c r="E23" s="1752"/>
      <c r="F23" s="1753"/>
    </row>
    <row r="24" spans="1:6">
      <c r="A24" s="1744"/>
      <c r="B24" s="1758"/>
      <c r="C24" s="1741"/>
      <c r="D24" s="1741"/>
      <c r="E24" s="1752"/>
      <c r="F24" s="1753"/>
    </row>
    <row r="25" spans="1:6">
      <c r="A25" s="1744"/>
      <c r="B25" s="1758"/>
      <c r="C25" s="1741"/>
      <c r="D25" s="1741"/>
      <c r="E25" s="1752"/>
      <c r="F25" s="1753"/>
    </row>
    <row r="26" spans="1:6">
      <c r="A26" s="1744"/>
      <c r="B26" s="1759"/>
      <c r="C26" s="1741"/>
      <c r="D26" s="1760"/>
      <c r="E26" s="1752"/>
      <c r="F26" s="1753"/>
    </row>
    <row r="27" spans="1:6">
      <c r="A27" s="1744"/>
      <c r="B27" s="1745"/>
      <c r="C27" s="1754"/>
      <c r="D27" s="1755"/>
      <c r="E27" s="1755"/>
      <c r="F27" s="1753"/>
    </row>
    <row r="28" spans="1:6">
      <c r="A28" s="1761"/>
      <c r="B28" s="1762"/>
      <c r="C28" s="1741"/>
      <c r="D28" s="1741"/>
      <c r="E28" s="1752"/>
      <c r="F28" s="1753"/>
    </row>
    <row r="29" spans="1:6">
      <c r="A29" s="1763"/>
      <c r="B29" s="1749"/>
      <c r="C29" s="1741"/>
      <c r="D29" s="1741"/>
      <c r="E29" s="1752"/>
      <c r="F29" s="1753"/>
    </row>
    <row r="30" spans="1:6">
      <c r="A30" s="1763"/>
      <c r="B30" s="1749"/>
      <c r="C30" s="1741"/>
      <c r="D30" s="1741"/>
      <c r="E30" s="1752"/>
      <c r="F30" s="1753"/>
    </row>
    <row r="31" spans="1:6">
      <c r="A31" s="1763"/>
      <c r="B31" s="1749"/>
      <c r="C31" s="1741"/>
      <c r="D31" s="1741"/>
      <c r="E31" s="1752"/>
      <c r="F31" s="1753"/>
    </row>
    <row r="32" spans="1:6">
      <c r="A32" s="1763"/>
      <c r="B32" s="1749"/>
      <c r="C32" s="1741"/>
      <c r="D32" s="1741"/>
      <c r="E32" s="1752"/>
      <c r="F32" s="1753"/>
    </row>
    <row r="33" spans="1:6">
      <c r="A33" s="1731"/>
      <c r="B33" s="1764"/>
      <c r="C33" s="1764"/>
      <c r="D33" s="1728"/>
      <c r="E33" s="1765"/>
      <c r="F33" s="1766"/>
    </row>
    <row r="34" spans="1:6">
      <c r="A34" s="1731"/>
      <c r="B34" s="1767"/>
      <c r="C34" s="1728"/>
      <c r="D34" s="1728"/>
      <c r="E34" s="1765"/>
      <c r="F34" s="1766"/>
    </row>
    <row r="35" spans="1:6">
      <c r="A35" s="1731"/>
      <c r="B35" s="1764"/>
      <c r="C35" s="1764"/>
      <c r="D35" s="1728"/>
      <c r="E35" s="1765"/>
      <c r="F35" s="1766"/>
    </row>
    <row r="36" spans="1:6">
      <c r="A36" s="1731"/>
      <c r="B36" s="1767"/>
      <c r="C36" s="1728"/>
      <c r="D36" s="1728"/>
      <c r="E36" s="1765"/>
      <c r="F36" s="1766"/>
    </row>
    <row r="37" spans="1:6">
      <c r="A37" s="1731"/>
      <c r="B37" s="1764"/>
      <c r="C37" s="1764"/>
      <c r="D37" s="1728"/>
      <c r="E37" s="1765"/>
      <c r="F37" s="1768"/>
    </row>
    <row r="38" spans="1:6">
      <c r="A38" s="1731"/>
      <c r="B38" s="1732"/>
      <c r="C38" s="1728"/>
      <c r="D38" s="1728"/>
      <c r="E38" s="1765"/>
      <c r="F38" s="1766"/>
    </row>
    <row r="39" spans="1:6">
      <c r="A39" s="1731"/>
      <c r="B39" s="1732"/>
      <c r="C39" s="1728"/>
      <c r="D39" s="1728"/>
      <c r="E39" s="1765"/>
      <c r="F39" s="1766"/>
    </row>
    <row r="40" spans="1:6">
      <c r="A40" s="1731"/>
      <c r="B40" s="1732"/>
      <c r="C40" s="1728"/>
      <c r="D40" s="1728"/>
      <c r="E40" s="1765"/>
      <c r="F40" s="1766"/>
    </row>
    <row r="41" spans="1:6">
      <c r="A41" s="1731"/>
      <c r="B41" s="1732"/>
      <c r="C41" s="1728"/>
      <c r="D41" s="1728"/>
      <c r="E41" s="1765"/>
      <c r="F41" s="1766"/>
    </row>
    <row r="42" spans="1:6">
      <c r="A42" s="1731"/>
      <c r="B42" s="1732"/>
      <c r="C42" s="1728"/>
      <c r="D42" s="1728"/>
      <c r="E42" s="1765"/>
      <c r="F42" s="1766"/>
    </row>
    <row r="43" spans="1:6">
      <c r="A43" s="1731"/>
      <c r="B43" s="1732"/>
      <c r="C43" s="1728"/>
      <c r="D43" s="1728"/>
      <c r="E43" s="1729"/>
      <c r="F43" s="1730"/>
    </row>
    <row r="44" spans="1:6">
      <c r="A44" s="1769"/>
      <c r="B44" s="1767"/>
      <c r="C44" s="1728"/>
      <c r="D44" s="1728"/>
      <c r="E44" s="1765"/>
      <c r="F44" s="1766"/>
    </row>
    <row r="45" spans="1:6">
      <c r="A45" s="1731"/>
      <c r="B45" s="1732"/>
      <c r="C45" s="1728"/>
      <c r="D45" s="1728"/>
      <c r="E45" s="1765"/>
      <c r="F45" s="1766"/>
    </row>
    <row r="46" spans="1:6">
      <c r="A46" s="1769"/>
      <c r="B46" s="1767"/>
      <c r="C46" s="1728"/>
      <c r="D46" s="1728"/>
      <c r="E46" s="1765"/>
      <c r="F46" s="1766"/>
    </row>
    <row r="47" spans="1:6">
      <c r="A47" s="1731"/>
      <c r="B47" s="1732"/>
      <c r="C47" s="1728"/>
      <c r="D47" s="1728"/>
      <c r="E47" s="1765"/>
      <c r="F47" s="1766"/>
    </row>
    <row r="48" spans="1:6">
      <c r="A48" s="1731"/>
      <c r="B48" s="1732"/>
      <c r="C48" s="1728"/>
      <c r="D48" s="1728"/>
      <c r="E48" s="1765"/>
      <c r="F48" s="1766"/>
    </row>
    <row r="49" spans="1:6">
      <c r="A49" s="1731"/>
      <c r="B49" s="1732"/>
      <c r="C49" s="1728"/>
      <c r="D49" s="1728"/>
      <c r="E49" s="1765"/>
      <c r="F49" s="1766"/>
    </row>
    <row r="50" spans="1:6">
      <c r="A50" s="1731"/>
      <c r="B50" s="1732"/>
      <c r="C50" s="1728"/>
      <c r="D50" s="1728"/>
      <c r="E50" s="1765"/>
      <c r="F50" s="1766"/>
    </row>
    <row r="51" spans="1:6">
      <c r="A51" s="1731"/>
      <c r="B51" s="1732"/>
      <c r="C51" s="1728"/>
      <c r="D51" s="1728"/>
      <c r="E51" s="1765"/>
      <c r="F51" s="1766"/>
    </row>
    <row r="52" spans="1:6">
      <c r="A52" s="1731"/>
      <c r="B52" s="1732"/>
      <c r="C52" s="1728"/>
      <c r="D52" s="1728"/>
      <c r="E52" s="1765"/>
      <c r="F52" s="1766"/>
    </row>
    <row r="53" spans="1:6">
      <c r="A53" s="1770"/>
      <c r="B53" s="1771"/>
      <c r="C53" s="1772"/>
      <c r="D53" s="1772"/>
      <c r="E53" s="1773"/>
      <c r="F53" s="1774"/>
    </row>
    <row r="54" spans="1:6" ht="13.8" thickBot="1">
      <c r="A54" s="1775"/>
      <c r="B54" s="1776" t="s">
        <v>1625</v>
      </c>
      <c r="C54" s="1776"/>
      <c r="D54" s="1777"/>
      <c r="E54" s="1778"/>
      <c r="F54" s="1779"/>
    </row>
  </sheetData>
  <mergeCells count="1">
    <mergeCell ref="A2:B2"/>
  </mergeCells>
  <pageMargins left="0.70866141732283472" right="0.70866141732283472" top="0.74803149606299213" bottom="0.74803149606299213" header="0.31496062992125984" footer="0.31496062992125984"/>
  <pageSetup paperSize="9" orientation="portrait" verticalDpi="0" r:id="rId1"/>
  <headerFooter>
    <oddHeader>&amp;CC80.25</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100" zoomScaleSheetLayoutView="100" workbookViewId="0">
      <selection activeCell="D15" sqref="D15"/>
    </sheetView>
  </sheetViews>
  <sheetFormatPr defaultRowHeight="13.2"/>
  <cols>
    <col min="1" max="1" width="8.88671875" style="1268"/>
    <col min="2" max="2" width="37.6640625" style="1268" customWidth="1"/>
    <col min="3" max="3" width="9.6640625" style="1268" customWidth="1"/>
    <col min="4" max="4" width="7.6640625" style="1268" customWidth="1"/>
    <col min="5" max="5" width="12.5546875" style="1268" customWidth="1"/>
    <col min="6" max="6" width="18.33203125" style="1268" customWidth="1"/>
    <col min="7" max="16384" width="8.88671875" style="1256"/>
  </cols>
  <sheetData>
    <row r="1" spans="1:6">
      <c r="A1" s="2032" t="str">
        <f>+'4100'!A1</f>
        <v>GREATER LETABA MUNICIPALITY</v>
      </c>
    </row>
    <row r="2" spans="1:6">
      <c r="A2" s="2208" t="str">
        <f>+'4100'!A2:B2</f>
        <v>CONTRACT NUMBER: GLM015/2025</v>
      </c>
      <c r="B2" s="2224"/>
    </row>
    <row r="3" spans="1:6">
      <c r="A3" s="1713" t="s">
        <v>1618</v>
      </c>
      <c r="B3" s="1714"/>
      <c r="C3" s="1715"/>
      <c r="D3" s="1715"/>
      <c r="E3" s="1716"/>
      <c r="F3" s="1717" t="s">
        <v>1626</v>
      </c>
    </row>
    <row r="4" spans="1:6">
      <c r="A4" s="2227" t="s">
        <v>1626</v>
      </c>
      <c r="B4" s="2227"/>
      <c r="C4" s="1715"/>
      <c r="D4" s="1715"/>
      <c r="E4" s="1716"/>
      <c r="F4" s="1717"/>
    </row>
    <row r="5" spans="1:6" ht="15" customHeight="1" thickBot="1">
      <c r="A5" s="2225" t="s">
        <v>1627</v>
      </c>
      <c r="B5" s="2226"/>
      <c r="C5" s="2031"/>
      <c r="D5" s="2031"/>
      <c r="E5" s="2031"/>
      <c r="F5" s="2031"/>
    </row>
    <row r="6" spans="1:6" ht="24">
      <c r="A6" s="1718" t="s">
        <v>1619</v>
      </c>
      <c r="B6" s="1719" t="s">
        <v>2</v>
      </c>
      <c r="C6" s="1719" t="s">
        <v>3</v>
      </c>
      <c r="D6" s="1719" t="s">
        <v>4</v>
      </c>
      <c r="E6" s="1719" t="s">
        <v>5</v>
      </c>
      <c r="F6" s="1720" t="s">
        <v>6</v>
      </c>
    </row>
    <row r="7" spans="1:6">
      <c r="A7" s="1721"/>
      <c r="B7" s="1722"/>
      <c r="C7" s="1723"/>
      <c r="D7" s="1723"/>
      <c r="E7" s="1724"/>
      <c r="F7" s="1725"/>
    </row>
    <row r="8" spans="1:6">
      <c r="A8" s="1726"/>
      <c r="B8" s="1727" t="s">
        <v>1627</v>
      </c>
      <c r="C8" s="1728"/>
      <c r="D8" s="1728"/>
      <c r="E8" s="1729"/>
      <c r="F8" s="1730"/>
    </row>
    <row r="9" spans="1:6">
      <c r="A9" s="1731"/>
      <c r="B9" s="1732"/>
      <c r="C9" s="1728"/>
      <c r="D9" s="1728"/>
      <c r="E9" s="1729"/>
      <c r="F9" s="1730"/>
    </row>
    <row r="10" spans="1:6">
      <c r="A10" s="1726" t="s">
        <v>1628</v>
      </c>
      <c r="B10" s="1733" t="s">
        <v>1629</v>
      </c>
      <c r="C10" s="1728"/>
      <c r="D10" s="1728"/>
      <c r="E10" s="1729"/>
      <c r="F10" s="1734"/>
    </row>
    <row r="11" spans="1:6">
      <c r="A11" s="1731"/>
      <c r="B11" s="1732" t="s">
        <v>1630</v>
      </c>
      <c r="C11" s="1728"/>
      <c r="D11" s="1728"/>
      <c r="E11" s="1729"/>
      <c r="F11" s="1734"/>
    </row>
    <row r="12" spans="1:6">
      <c r="A12" s="1736"/>
      <c r="B12" s="1737"/>
      <c r="C12" s="1738"/>
      <c r="D12" s="1738"/>
      <c r="E12" s="1740"/>
      <c r="F12" s="1780"/>
    </row>
    <row r="13" spans="1:6">
      <c r="A13" s="1736"/>
      <c r="B13" s="1737" t="s">
        <v>1631</v>
      </c>
      <c r="C13" s="1738" t="s">
        <v>877</v>
      </c>
      <c r="D13" s="1738">
        <f>510*7.4*1.1</f>
        <v>4151.4000000000005</v>
      </c>
      <c r="E13" s="1738"/>
      <c r="F13" s="1781"/>
    </row>
    <row r="14" spans="1:6">
      <c r="A14" s="1736"/>
      <c r="B14" s="1732"/>
      <c r="C14" s="1741"/>
      <c r="D14" s="1752"/>
      <c r="E14" s="1743"/>
      <c r="F14" s="1781"/>
    </row>
    <row r="15" spans="1:6">
      <c r="A15" s="1736" t="s">
        <v>1632</v>
      </c>
      <c r="B15" s="1737" t="s">
        <v>1633</v>
      </c>
      <c r="C15" s="1741" t="s">
        <v>1624</v>
      </c>
      <c r="D15" s="1738">
        <f>D13*0.8</f>
        <v>3321.1200000000008</v>
      </c>
      <c r="E15" s="1738"/>
      <c r="F15" s="1781"/>
    </row>
    <row r="16" spans="1:6">
      <c r="A16" s="1736"/>
      <c r="B16" s="1732"/>
      <c r="C16" s="1738"/>
      <c r="D16" s="1738"/>
      <c r="E16" s="1738"/>
      <c r="F16" s="1781"/>
    </row>
    <row r="17" spans="1:6">
      <c r="A17" s="1736" t="s">
        <v>1634</v>
      </c>
      <c r="B17" s="1737" t="s">
        <v>1635</v>
      </c>
      <c r="C17" s="1738"/>
      <c r="D17" s="1738"/>
      <c r="E17" s="1738"/>
      <c r="F17" s="1781"/>
    </row>
    <row r="18" spans="1:6">
      <c r="A18" s="1736"/>
      <c r="B18" s="1732"/>
      <c r="C18" s="1741"/>
      <c r="D18" s="1752"/>
      <c r="E18" s="1743"/>
      <c r="F18" s="1781"/>
    </row>
    <row r="19" spans="1:6">
      <c r="A19" s="1736"/>
      <c r="B19" s="1737" t="s">
        <v>1636</v>
      </c>
      <c r="C19" s="1741" t="s">
        <v>473</v>
      </c>
      <c r="D19" s="1738">
        <v>1</v>
      </c>
      <c r="E19" s="1782"/>
      <c r="F19" s="1781"/>
    </row>
    <row r="20" spans="1:6">
      <c r="A20" s="1736"/>
      <c r="B20" s="1732"/>
      <c r="C20" s="1741"/>
      <c r="D20" s="1783"/>
      <c r="E20" s="1743"/>
      <c r="F20" s="1781"/>
    </row>
    <row r="21" spans="1:6">
      <c r="A21" s="1736" t="s">
        <v>1637</v>
      </c>
      <c r="B21" s="1737" t="s">
        <v>1638</v>
      </c>
      <c r="C21" s="1741"/>
      <c r="D21" s="1783"/>
      <c r="E21" s="1752"/>
      <c r="F21" s="1781"/>
    </row>
    <row r="22" spans="1:6">
      <c r="A22" s="1736"/>
      <c r="B22" s="1757"/>
      <c r="C22" s="1741"/>
      <c r="D22" s="1752"/>
      <c r="E22" s="1743"/>
      <c r="F22" s="1781"/>
    </row>
    <row r="23" spans="1:6">
      <c r="A23" s="1736"/>
      <c r="B23" s="1757" t="s">
        <v>1639</v>
      </c>
      <c r="C23" s="1741" t="s">
        <v>473</v>
      </c>
      <c r="D23" s="1784">
        <v>1</v>
      </c>
      <c r="E23" s="1743"/>
      <c r="F23" s="1781"/>
    </row>
    <row r="24" spans="1:6">
      <c r="A24" s="1736"/>
      <c r="B24" s="1785"/>
      <c r="C24" s="1741"/>
      <c r="D24" s="1752"/>
      <c r="E24" s="1743"/>
      <c r="F24" s="1781"/>
    </row>
    <row r="25" spans="1:6">
      <c r="A25" s="1736" t="s">
        <v>1640</v>
      </c>
      <c r="B25" s="1785" t="s">
        <v>1641</v>
      </c>
      <c r="C25" s="1741" t="s">
        <v>148</v>
      </c>
      <c r="D25" s="1786">
        <v>4</v>
      </c>
      <c r="E25" s="1743"/>
      <c r="F25" s="1781"/>
    </row>
    <row r="26" spans="1:6">
      <c r="A26" s="1736"/>
      <c r="B26" s="1787"/>
      <c r="C26" s="1741"/>
      <c r="D26" s="1760"/>
      <c r="E26" s="1752"/>
      <c r="F26" s="1781"/>
    </row>
    <row r="27" spans="1:6">
      <c r="A27" s="1736"/>
      <c r="B27" s="1787"/>
      <c r="C27" s="1741"/>
      <c r="D27" s="1760"/>
      <c r="E27" s="1752"/>
      <c r="F27" s="1781"/>
    </row>
    <row r="28" spans="1:6">
      <c r="A28" s="1744"/>
      <c r="B28" s="1759"/>
      <c r="C28" s="1741"/>
      <c r="D28" s="1760"/>
      <c r="E28" s="1752"/>
      <c r="F28" s="1753"/>
    </row>
    <row r="29" spans="1:6">
      <c r="A29" s="1744"/>
      <c r="B29" s="1759"/>
      <c r="C29" s="1741"/>
      <c r="D29" s="1760"/>
      <c r="E29" s="1752"/>
      <c r="F29" s="1753"/>
    </row>
    <row r="30" spans="1:6">
      <c r="A30" s="1744"/>
      <c r="B30" s="1759"/>
      <c r="C30" s="1741"/>
      <c r="D30" s="1760"/>
      <c r="E30" s="1752"/>
      <c r="F30" s="1753"/>
    </row>
    <row r="31" spans="1:6">
      <c r="A31" s="1744"/>
      <c r="B31" s="1759"/>
      <c r="C31" s="1741"/>
      <c r="D31" s="1760"/>
      <c r="E31" s="1752"/>
      <c r="F31" s="1753"/>
    </row>
    <row r="32" spans="1:6">
      <c r="A32" s="1744"/>
      <c r="B32" s="1759"/>
      <c r="C32" s="1741"/>
      <c r="D32" s="1760"/>
      <c r="E32" s="1752"/>
      <c r="F32" s="1753"/>
    </row>
    <row r="33" spans="1:6">
      <c r="A33" s="1744"/>
      <c r="B33" s="1759"/>
      <c r="C33" s="1741"/>
      <c r="D33" s="1760"/>
      <c r="E33" s="1752"/>
      <c r="F33" s="1753"/>
    </row>
    <row r="34" spans="1:6">
      <c r="A34" s="1744"/>
      <c r="B34" s="1759"/>
      <c r="C34" s="1741"/>
      <c r="D34" s="1760"/>
      <c r="E34" s="1752"/>
      <c r="F34" s="1753"/>
    </row>
    <row r="35" spans="1:6">
      <c r="A35" s="1744"/>
      <c r="B35" s="1759"/>
      <c r="C35" s="1741"/>
      <c r="D35" s="1760"/>
      <c r="E35" s="1752"/>
      <c r="F35" s="1753"/>
    </row>
    <row r="36" spans="1:6">
      <c r="A36" s="1744"/>
      <c r="B36" s="1759"/>
      <c r="C36" s="1741"/>
      <c r="D36" s="1760"/>
      <c r="E36" s="1752"/>
      <c r="F36" s="1753"/>
    </row>
    <row r="37" spans="1:6">
      <c r="A37" s="1744"/>
      <c r="B37" s="1759"/>
      <c r="C37" s="1741"/>
      <c r="D37" s="1760"/>
      <c r="E37" s="1752"/>
      <c r="F37" s="1753"/>
    </row>
    <row r="38" spans="1:6">
      <c r="A38" s="1744"/>
      <c r="B38" s="1759"/>
      <c r="C38" s="1741"/>
      <c r="D38" s="1760"/>
      <c r="E38" s="1752"/>
      <c r="F38" s="1753"/>
    </row>
    <row r="39" spans="1:6">
      <c r="A39" s="1744"/>
      <c r="B39" s="1759"/>
      <c r="C39" s="1741"/>
      <c r="D39" s="1760"/>
      <c r="E39" s="1752"/>
      <c r="F39" s="1753"/>
    </row>
    <row r="40" spans="1:6">
      <c r="A40" s="1744"/>
      <c r="B40" s="1759"/>
      <c r="C40" s="1741"/>
      <c r="D40" s="1760"/>
      <c r="E40" s="1752"/>
      <c r="F40" s="1753"/>
    </row>
    <row r="41" spans="1:6">
      <c r="A41" s="1744"/>
      <c r="B41" s="1759"/>
      <c r="C41" s="1741"/>
      <c r="D41" s="1760"/>
      <c r="E41" s="1752"/>
      <c r="F41" s="1753"/>
    </row>
    <row r="42" spans="1:6">
      <c r="A42" s="1744"/>
      <c r="B42" s="1745"/>
      <c r="C42" s="1754"/>
      <c r="D42" s="1755"/>
      <c r="E42" s="1755"/>
      <c r="F42" s="1753"/>
    </row>
    <row r="43" spans="1:6">
      <c r="A43" s="1761"/>
      <c r="B43" s="1762"/>
      <c r="C43" s="1741"/>
      <c r="D43" s="1741"/>
      <c r="E43" s="1752"/>
      <c r="F43" s="1753"/>
    </row>
    <row r="44" spans="1:6">
      <c r="A44" s="1769"/>
      <c r="B44" s="1767"/>
      <c r="C44" s="1728"/>
      <c r="D44" s="1728"/>
      <c r="E44" s="1765"/>
      <c r="F44" s="1766"/>
    </row>
    <row r="45" spans="1:6">
      <c r="A45" s="1731"/>
      <c r="B45" s="1732"/>
      <c r="C45" s="1728"/>
      <c r="D45" s="1728"/>
      <c r="E45" s="1765"/>
      <c r="F45" s="1766"/>
    </row>
    <row r="46" spans="1:6">
      <c r="A46" s="1769"/>
      <c r="B46" s="1767"/>
      <c r="C46" s="1728"/>
      <c r="D46" s="1728"/>
      <c r="E46" s="1765"/>
      <c r="F46" s="1766"/>
    </row>
    <row r="47" spans="1:6">
      <c r="A47" s="1731"/>
      <c r="B47" s="1732"/>
      <c r="C47" s="1728"/>
      <c r="D47" s="1728"/>
      <c r="E47" s="1765"/>
      <c r="F47" s="1766"/>
    </row>
    <row r="48" spans="1:6">
      <c r="A48" s="1731"/>
      <c r="B48" s="1732"/>
      <c r="C48" s="1728"/>
      <c r="D48" s="1728"/>
      <c r="E48" s="1765"/>
      <c r="F48" s="1766"/>
    </row>
    <row r="49" spans="1:6">
      <c r="A49" s="1731"/>
      <c r="B49" s="1732"/>
      <c r="C49" s="1728"/>
      <c r="D49" s="1728"/>
      <c r="E49" s="1765"/>
      <c r="F49" s="1766"/>
    </row>
    <row r="50" spans="1:6">
      <c r="A50" s="1731"/>
      <c r="B50" s="1732"/>
      <c r="C50" s="1728"/>
      <c r="D50" s="1728"/>
      <c r="E50" s="1765"/>
      <c r="F50" s="1766"/>
    </row>
    <row r="51" spans="1:6">
      <c r="A51" s="1731"/>
      <c r="B51" s="1732"/>
      <c r="C51" s="1728"/>
      <c r="D51" s="1728"/>
      <c r="E51" s="1765"/>
      <c r="F51" s="1766"/>
    </row>
    <row r="52" spans="1:6">
      <c r="A52" s="1731"/>
      <c r="B52" s="1732"/>
      <c r="C52" s="1728"/>
      <c r="D52" s="1728"/>
      <c r="E52" s="1765"/>
      <c r="F52" s="1766"/>
    </row>
    <row r="53" spans="1:6">
      <c r="A53" s="1770"/>
      <c r="B53" s="1771"/>
      <c r="C53" s="1772"/>
      <c r="D53" s="1772"/>
      <c r="E53" s="1773"/>
      <c r="F53" s="1774"/>
    </row>
    <row r="54" spans="1:6" ht="13.8" thickBot="1">
      <c r="A54" s="1775"/>
      <c r="B54" s="1776" t="s">
        <v>1625</v>
      </c>
      <c r="C54" s="1776"/>
      <c r="D54" s="1777"/>
      <c r="E54" s="1778"/>
      <c r="F54" s="1779"/>
    </row>
  </sheetData>
  <mergeCells count="3">
    <mergeCell ref="A5:B5"/>
    <mergeCell ref="A4:B4"/>
    <mergeCell ref="A2:B2"/>
  </mergeCells>
  <pageMargins left="0.70866141732283472" right="0.70866141732283472" top="0.74803149606299213" bottom="0.74803149606299213" header="0.31496062992125984" footer="0.31496062992125984"/>
  <pageSetup paperSize="9" scale="92" orientation="portrait" verticalDpi="0" r:id="rId1"/>
  <headerFooter>
    <oddHeader>&amp;CC80.26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2"/>
  <sheetViews>
    <sheetView view="pageBreakPreview" topLeftCell="A40" zoomScaleNormal="75" zoomScaleSheetLayoutView="100" workbookViewId="0">
      <selection activeCell="B52" sqref="B52"/>
    </sheetView>
  </sheetViews>
  <sheetFormatPr defaultColWidth="9.109375" defaultRowHeight="13.2"/>
  <cols>
    <col min="1" max="1" width="4.6640625" style="619" customWidth="1"/>
    <col min="2" max="2" width="11.44140625" style="619" customWidth="1"/>
    <col min="3" max="3" width="12.33203125" style="619" customWidth="1"/>
    <col min="4" max="4" width="20.5546875" style="619" customWidth="1"/>
    <col min="5" max="5" width="11.109375" style="619" customWidth="1"/>
    <col min="6" max="6" width="3" style="619" customWidth="1"/>
    <col min="7" max="7" width="16.33203125" style="619" customWidth="1"/>
    <col min="8" max="8" width="21.44140625" style="619" customWidth="1"/>
    <col min="9" max="9" width="11.109375" style="619" customWidth="1"/>
    <col min="10" max="10" width="9" style="619" customWidth="1"/>
    <col min="11" max="11" width="17.6640625" style="619" customWidth="1"/>
    <col min="12" max="12" width="16.109375" style="619" customWidth="1"/>
    <col min="13" max="13" width="9.109375" style="619"/>
    <col min="14" max="14" width="16.33203125" style="619" customWidth="1"/>
    <col min="15" max="15" width="5.5546875" style="619" customWidth="1"/>
    <col min="16" max="16" width="5.109375" style="619" customWidth="1"/>
    <col min="17" max="17" width="4.5546875" style="619" customWidth="1"/>
    <col min="18" max="18" width="17.33203125" style="619" customWidth="1"/>
    <col min="19" max="16384" width="9.109375" style="619"/>
  </cols>
  <sheetData>
    <row r="1" spans="2:19" ht="24.75" customHeight="1">
      <c r="B1" s="2126" t="s">
        <v>740</v>
      </c>
      <c r="C1" s="2127"/>
      <c r="D1" s="2127"/>
      <c r="E1" s="2127"/>
      <c r="F1" s="2127"/>
      <c r="G1" s="2127"/>
      <c r="H1" s="2127"/>
      <c r="I1" s="2127"/>
      <c r="J1" s="2127"/>
      <c r="K1" s="2127"/>
      <c r="L1" s="2127"/>
    </row>
    <row r="2" spans="2:19" ht="21" customHeight="1">
      <c r="B2" s="620" t="s">
        <v>741</v>
      </c>
      <c r="C2" s="621"/>
      <c r="D2" s="621"/>
      <c r="E2" s="621"/>
      <c r="F2" s="621"/>
      <c r="G2" s="621"/>
      <c r="H2" s="621"/>
      <c r="I2" s="621"/>
      <c r="J2" s="621"/>
      <c r="K2" s="621"/>
      <c r="L2" s="621"/>
    </row>
    <row r="3" spans="2:19" ht="9.75" customHeight="1">
      <c r="B3" s="622"/>
      <c r="C3" s="621"/>
      <c r="D3" s="621"/>
      <c r="E3" s="621"/>
      <c r="F3" s="621"/>
      <c r="G3" s="621"/>
      <c r="H3" s="621"/>
      <c r="I3" s="621"/>
      <c r="J3" s="621"/>
      <c r="K3" s="621"/>
      <c r="L3" s="621"/>
    </row>
    <row r="4" spans="2:19" ht="15.75" customHeight="1">
      <c r="B4" s="623" t="s">
        <v>742</v>
      </c>
      <c r="D4" s="624" t="str">
        <f>'Contractor Cover Sheet IPC 1'!O4</f>
        <v>G/G/M/015/017/2017</v>
      </c>
      <c r="E4" s="623" t="s">
        <v>743</v>
      </c>
      <c r="F4" s="623"/>
      <c r="G4" s="625"/>
      <c r="H4" s="2128" t="str">
        <f>'Contractor Cover Sheet IPC 1'!D4</f>
        <v>CONSTRUCTION OF GIYANI WASTE DISPOSAL SITE</v>
      </c>
      <c r="I4" s="2128"/>
      <c r="J4" s="2128"/>
      <c r="K4" s="2128"/>
      <c r="L4" s="2128"/>
    </row>
    <row r="5" spans="2:19" ht="9.75" customHeight="1" thickBot="1">
      <c r="B5" s="626" t="s">
        <v>744</v>
      </c>
      <c r="C5" s="623"/>
      <c r="D5" s="623"/>
      <c r="E5" s="625"/>
      <c r="F5" s="625"/>
      <c r="G5" s="625"/>
      <c r="H5" s="2129"/>
      <c r="I5" s="2130"/>
      <c r="J5" s="2130"/>
      <c r="K5" s="2130"/>
      <c r="L5" s="2130"/>
    </row>
    <row r="6" spans="2:19" ht="20.100000000000001" customHeight="1" thickTop="1">
      <c r="B6" s="627" t="s">
        <v>745</v>
      </c>
      <c r="C6" s="628"/>
      <c r="D6" s="628"/>
      <c r="E6" s="628"/>
      <c r="F6" s="628"/>
      <c r="G6" s="628"/>
      <c r="H6" s="628"/>
      <c r="I6" s="628"/>
      <c r="J6" s="628"/>
      <c r="K6" s="628"/>
      <c r="L6" s="629"/>
      <c r="N6" s="630"/>
      <c r="O6" s="631"/>
      <c r="P6" s="631"/>
      <c r="Q6" s="631"/>
      <c r="R6" s="631"/>
    </row>
    <row r="7" spans="2:19" ht="29.25" customHeight="1">
      <c r="B7" s="2131" t="s">
        <v>746</v>
      </c>
      <c r="C7" s="2105"/>
      <c r="D7" s="2105"/>
      <c r="E7" s="2105"/>
      <c r="F7" s="2105"/>
      <c r="G7" s="2105"/>
      <c r="H7" s="2105"/>
      <c r="I7" s="2105"/>
      <c r="J7" s="2105"/>
      <c r="K7" s="2105"/>
      <c r="L7" s="2132"/>
      <c r="N7" s="630"/>
      <c r="O7" s="631"/>
      <c r="P7" s="631"/>
      <c r="Q7" s="631"/>
      <c r="R7" s="631"/>
    </row>
    <row r="8" spans="2:19" ht="20.100000000000001" customHeight="1">
      <c r="B8" s="632"/>
      <c r="C8" s="633"/>
      <c r="D8" s="633"/>
      <c r="E8" s="633"/>
      <c r="F8" s="633"/>
      <c r="G8" s="633"/>
      <c r="H8" s="634"/>
      <c r="I8" s="634"/>
      <c r="J8" s="634"/>
      <c r="K8" s="633"/>
      <c r="L8" s="635"/>
      <c r="P8" s="636"/>
      <c r="Q8" s="636"/>
      <c r="R8" s="636"/>
      <c r="S8" s="636"/>
    </row>
    <row r="9" spans="2:19" ht="20.100000000000001" customHeight="1">
      <c r="B9" s="2133" t="str">
        <f>'Contractor Cover Sheet IPC 1'!F43</f>
        <v>23/05/2018</v>
      </c>
      <c r="C9" s="2134"/>
      <c r="D9" s="637"/>
      <c r="E9" s="633"/>
      <c r="F9" s="633"/>
      <c r="G9" s="633"/>
      <c r="H9" s="893" t="s">
        <v>852</v>
      </c>
      <c r="I9" s="633"/>
      <c r="J9" s="633"/>
      <c r="K9" s="893"/>
      <c r="L9" s="639"/>
      <c r="N9" s="640"/>
      <c r="O9" s="636"/>
      <c r="P9" s="636"/>
      <c r="Q9" s="636"/>
      <c r="R9" s="636"/>
      <c r="S9" s="636"/>
    </row>
    <row r="10" spans="2:19" ht="20.100000000000001" customHeight="1" thickBot="1">
      <c r="B10" s="2124" t="s">
        <v>747</v>
      </c>
      <c r="C10" s="2125"/>
      <c r="D10" s="641"/>
      <c r="E10" s="633"/>
      <c r="F10" s="633"/>
      <c r="G10" s="633"/>
      <c r="H10" s="641" t="s">
        <v>748</v>
      </c>
      <c r="I10" s="633"/>
      <c r="J10" s="633"/>
      <c r="K10" s="641" t="s">
        <v>749</v>
      </c>
      <c r="L10" s="639"/>
      <c r="N10" s="640"/>
      <c r="O10" s="636"/>
      <c r="P10" s="636"/>
      <c r="Q10" s="636"/>
      <c r="R10" s="636"/>
      <c r="S10" s="636"/>
    </row>
    <row r="11" spans="2:19" ht="20.100000000000001" customHeight="1">
      <c r="B11" s="642" t="s">
        <v>750</v>
      </c>
      <c r="C11" s="643"/>
      <c r="D11" s="644"/>
      <c r="E11" s="643"/>
      <c r="F11" s="643"/>
      <c r="G11" s="643"/>
      <c r="H11" s="645"/>
      <c r="I11" s="643"/>
      <c r="J11" s="643"/>
      <c r="K11" s="646"/>
      <c r="L11" s="647"/>
      <c r="N11" s="640"/>
      <c r="O11" s="636"/>
      <c r="P11" s="636"/>
      <c r="Q11" s="636"/>
      <c r="R11" s="636"/>
      <c r="S11" s="636"/>
    </row>
    <row r="12" spans="2:19" ht="29.25" customHeight="1">
      <c r="B12" s="2104" t="s">
        <v>751</v>
      </c>
      <c r="C12" s="2105"/>
      <c r="D12" s="2105"/>
      <c r="E12" s="2105"/>
      <c r="F12" s="2105"/>
      <c r="G12" s="2105"/>
      <c r="H12" s="2105"/>
      <c r="I12" s="2105"/>
      <c r="J12" s="2105"/>
      <c r="K12" s="2105"/>
      <c r="L12" s="2106"/>
      <c r="N12" s="640"/>
      <c r="O12" s="636"/>
      <c r="P12" s="636"/>
      <c r="Q12" s="636"/>
      <c r="R12" s="636"/>
      <c r="S12" s="636"/>
    </row>
    <row r="13" spans="2:19" ht="20.100000000000001" customHeight="1">
      <c r="B13" s="648"/>
      <c r="C13" s="633"/>
      <c r="D13" s="633"/>
      <c r="E13" s="633"/>
      <c r="F13" s="633"/>
      <c r="G13" s="633"/>
      <c r="H13" s="638"/>
      <c r="I13" s="633"/>
      <c r="J13" s="633"/>
      <c r="K13" s="633"/>
      <c r="L13" s="649"/>
      <c r="N13" s="640"/>
      <c r="O13" s="636"/>
      <c r="P13" s="636"/>
      <c r="Q13" s="636"/>
      <c r="R13" s="636"/>
      <c r="S13" s="636"/>
    </row>
    <row r="14" spans="2:19" ht="20.100000000000001" customHeight="1">
      <c r="B14" s="2135" t="s">
        <v>752</v>
      </c>
      <c r="C14" s="2136"/>
      <c r="D14" s="633"/>
      <c r="E14" s="633"/>
      <c r="F14" s="633"/>
      <c r="G14" s="633"/>
      <c r="H14" s="638" t="s">
        <v>601</v>
      </c>
      <c r="I14" s="633"/>
      <c r="J14" s="633"/>
      <c r="K14" s="638" t="s">
        <v>601</v>
      </c>
      <c r="L14" s="649"/>
      <c r="N14" s="640"/>
      <c r="O14" s="636"/>
      <c r="P14" s="636"/>
      <c r="Q14" s="636"/>
      <c r="R14" s="636"/>
      <c r="S14" s="636"/>
    </row>
    <row r="15" spans="2:19" ht="20.100000000000001" customHeight="1" thickBot="1">
      <c r="B15" s="2124" t="s">
        <v>747</v>
      </c>
      <c r="C15" s="2125"/>
      <c r="D15" s="650"/>
      <c r="E15" s="650"/>
      <c r="F15" s="650"/>
      <c r="G15" s="650"/>
      <c r="H15" s="651" t="s">
        <v>753</v>
      </c>
      <c r="I15" s="650"/>
      <c r="J15" s="650"/>
      <c r="K15" s="652" t="s">
        <v>749</v>
      </c>
      <c r="L15" s="653"/>
      <c r="N15" s="640"/>
      <c r="O15" s="636"/>
      <c r="P15" s="636"/>
      <c r="Q15" s="636"/>
      <c r="R15" s="636"/>
      <c r="S15" s="636"/>
    </row>
    <row r="16" spans="2:19" ht="20.100000000000001" customHeight="1">
      <c r="B16" s="642" t="s">
        <v>754</v>
      </c>
      <c r="C16" s="643"/>
      <c r="D16" s="644"/>
      <c r="E16" s="643"/>
      <c r="F16" s="643"/>
      <c r="G16" s="643"/>
      <c r="H16" s="645"/>
      <c r="I16" s="643"/>
      <c r="J16" s="643"/>
      <c r="K16" s="646"/>
      <c r="L16" s="647"/>
      <c r="N16" s="640"/>
      <c r="O16" s="636"/>
      <c r="P16" s="636"/>
      <c r="Q16" s="636"/>
      <c r="R16" s="636"/>
      <c r="S16" s="636"/>
    </row>
    <row r="17" spans="2:19" ht="33.75" customHeight="1">
      <c r="B17" s="2104" t="s">
        <v>755</v>
      </c>
      <c r="C17" s="2105"/>
      <c r="D17" s="2105"/>
      <c r="E17" s="2105"/>
      <c r="F17" s="2105"/>
      <c r="G17" s="2105"/>
      <c r="H17" s="2105"/>
      <c r="I17" s="2105"/>
      <c r="J17" s="2105"/>
      <c r="K17" s="2105"/>
      <c r="L17" s="2106"/>
      <c r="N17" s="640"/>
      <c r="O17" s="636"/>
      <c r="P17" s="636"/>
      <c r="Q17" s="636"/>
      <c r="R17" s="636"/>
      <c r="S17" s="636"/>
    </row>
    <row r="18" spans="2:19" ht="20.100000000000001" customHeight="1">
      <c r="B18" s="648"/>
      <c r="C18" s="633"/>
      <c r="D18" s="633"/>
      <c r="E18" s="633"/>
      <c r="F18" s="633"/>
      <c r="G18" s="633"/>
      <c r="H18" s="638"/>
      <c r="I18" s="633"/>
      <c r="J18" s="633"/>
      <c r="K18" s="633"/>
      <c r="L18" s="649"/>
      <c r="N18" s="640"/>
      <c r="O18" s="636"/>
      <c r="P18" s="636"/>
      <c r="Q18" s="636"/>
      <c r="R18" s="636"/>
      <c r="S18" s="636"/>
    </row>
    <row r="19" spans="2:19" ht="20.100000000000001" customHeight="1">
      <c r="B19" s="2135" t="s">
        <v>756</v>
      </c>
      <c r="C19" s="2136"/>
      <c r="D19" s="633"/>
      <c r="E19" s="633"/>
      <c r="F19" s="633"/>
      <c r="G19" s="633"/>
      <c r="H19" s="638" t="s">
        <v>601</v>
      </c>
      <c r="I19" s="633"/>
      <c r="J19" s="633"/>
      <c r="K19" s="638" t="s">
        <v>601</v>
      </c>
      <c r="L19" s="649"/>
      <c r="N19" s="640"/>
      <c r="O19" s="636"/>
      <c r="P19" s="636"/>
      <c r="Q19" s="636"/>
      <c r="R19" s="636"/>
      <c r="S19" s="636"/>
    </row>
    <row r="20" spans="2:19" ht="20.100000000000001" customHeight="1" thickBot="1">
      <c r="B20" s="2124" t="s">
        <v>747</v>
      </c>
      <c r="C20" s="2125"/>
      <c r="D20" s="633"/>
      <c r="E20" s="633"/>
      <c r="F20" s="633"/>
      <c r="G20" s="633"/>
      <c r="H20" s="654" t="s">
        <v>757</v>
      </c>
      <c r="I20" s="633"/>
      <c r="J20" s="633"/>
      <c r="K20" s="641" t="s">
        <v>749</v>
      </c>
      <c r="L20" s="649"/>
      <c r="N20" s="651" t="s">
        <v>753</v>
      </c>
      <c r="O20" s="636"/>
      <c r="P20" s="636"/>
      <c r="Q20" s="636"/>
      <c r="R20" s="636"/>
      <c r="S20" s="636"/>
    </row>
    <row r="21" spans="2:19" ht="20.100000000000001" customHeight="1">
      <c r="B21" s="642" t="s">
        <v>758</v>
      </c>
      <c r="C21" s="643"/>
      <c r="D21" s="644"/>
      <c r="E21" s="643"/>
      <c r="F21" s="643"/>
      <c r="G21" s="643"/>
      <c r="H21" s="645"/>
      <c r="I21" s="643"/>
      <c r="J21" s="643"/>
      <c r="K21" s="646"/>
      <c r="L21" s="647"/>
    </row>
    <row r="22" spans="2:19" ht="23.25" customHeight="1">
      <c r="B22" s="2104" t="s">
        <v>759</v>
      </c>
      <c r="C22" s="2105"/>
      <c r="D22" s="2105"/>
      <c r="E22" s="2105"/>
      <c r="F22" s="2105"/>
      <c r="G22" s="2105"/>
      <c r="H22" s="2105"/>
      <c r="I22" s="2105"/>
      <c r="J22" s="2105"/>
      <c r="K22" s="2105"/>
      <c r="L22" s="2106"/>
    </row>
    <row r="23" spans="2:19" ht="20.100000000000001" customHeight="1">
      <c r="B23" s="648"/>
      <c r="C23" s="633"/>
      <c r="D23" s="633"/>
      <c r="E23" s="633"/>
      <c r="F23" s="633"/>
      <c r="G23" s="633"/>
      <c r="H23" s="638"/>
      <c r="I23" s="633"/>
      <c r="J23" s="633"/>
      <c r="K23" s="633"/>
      <c r="L23" s="649"/>
      <c r="N23" s="630"/>
      <c r="O23" s="631"/>
      <c r="P23" s="631"/>
      <c r="Q23" s="631"/>
      <c r="R23" s="631"/>
    </row>
    <row r="24" spans="2:19" ht="20.100000000000001" customHeight="1">
      <c r="B24" s="648" t="s">
        <v>760</v>
      </c>
      <c r="C24" s="633"/>
      <c r="D24" s="633"/>
      <c r="E24" s="633"/>
      <c r="F24" s="633"/>
      <c r="G24" s="633"/>
      <c r="H24" s="638" t="s">
        <v>601</v>
      </c>
      <c r="I24" s="633"/>
      <c r="J24" s="633"/>
      <c r="K24" s="638" t="s">
        <v>601</v>
      </c>
      <c r="L24" s="649"/>
      <c r="N24" s="630"/>
      <c r="O24" s="631"/>
      <c r="P24" s="631"/>
      <c r="Q24" s="636"/>
      <c r="R24" s="631"/>
    </row>
    <row r="25" spans="2:19" ht="20.100000000000001" customHeight="1">
      <c r="B25" s="655" t="s">
        <v>761</v>
      </c>
      <c r="C25" s="633"/>
      <c r="D25" s="633"/>
      <c r="E25" s="633"/>
      <c r="F25" s="633"/>
      <c r="G25" s="633"/>
      <c r="H25" s="651" t="s">
        <v>762</v>
      </c>
      <c r="I25" s="633"/>
      <c r="J25" s="633"/>
      <c r="K25" s="651" t="s">
        <v>763</v>
      </c>
      <c r="L25" s="649"/>
      <c r="N25" s="640"/>
      <c r="O25" s="636"/>
      <c r="P25" s="636"/>
      <c r="Q25" s="636"/>
      <c r="R25" s="636"/>
    </row>
    <row r="26" spans="2:19" ht="20.100000000000001" customHeight="1">
      <c r="B26" s="656" t="s">
        <v>764</v>
      </c>
      <c r="C26" s="633"/>
      <c r="D26" s="633"/>
      <c r="E26" s="633"/>
      <c r="F26" s="633"/>
      <c r="G26" s="633"/>
      <c r="H26" s="638"/>
      <c r="I26" s="633"/>
      <c r="J26" s="633"/>
      <c r="K26" s="633"/>
      <c r="L26" s="649"/>
      <c r="N26" s="657"/>
      <c r="O26" s="636"/>
      <c r="P26" s="658"/>
      <c r="Q26" s="636"/>
      <c r="R26" s="636"/>
    </row>
    <row r="27" spans="2:19" ht="20.100000000000001" customHeight="1">
      <c r="B27" s="648"/>
      <c r="C27" s="633"/>
      <c r="D27" s="633"/>
      <c r="E27" s="633"/>
      <c r="F27" s="633"/>
      <c r="G27" s="633"/>
      <c r="H27" s="638"/>
      <c r="I27" s="633"/>
      <c r="J27" s="633"/>
      <c r="K27" s="633"/>
      <c r="L27" s="649"/>
      <c r="N27" s="659"/>
      <c r="O27" s="636"/>
      <c r="P27" s="658"/>
      <c r="Q27" s="636"/>
      <c r="R27" s="636"/>
    </row>
    <row r="28" spans="2:19" ht="20.100000000000001" customHeight="1">
      <c r="B28" s="648" t="s">
        <v>765</v>
      </c>
      <c r="C28" s="633"/>
      <c r="D28" s="633"/>
      <c r="E28" s="633"/>
      <c r="F28" s="633"/>
      <c r="G28" s="633"/>
      <c r="H28" s="638" t="s">
        <v>601</v>
      </c>
      <c r="I28" s="633"/>
      <c r="J28" s="633"/>
      <c r="K28" s="638" t="s">
        <v>601</v>
      </c>
      <c r="L28" s="649"/>
      <c r="N28" s="660"/>
      <c r="O28" s="636"/>
      <c r="P28" s="661"/>
      <c r="Q28" s="661"/>
      <c r="R28" s="661"/>
    </row>
    <row r="29" spans="2:19" ht="20.100000000000001" customHeight="1">
      <c r="B29" s="655" t="s">
        <v>761</v>
      </c>
      <c r="C29" s="633"/>
      <c r="D29" s="662"/>
      <c r="E29" s="633"/>
      <c r="F29" s="633"/>
      <c r="G29" s="633"/>
      <c r="H29" s="651" t="s">
        <v>762</v>
      </c>
      <c r="I29" s="633"/>
      <c r="J29" s="633"/>
      <c r="K29" s="651" t="s">
        <v>766</v>
      </c>
      <c r="L29" s="649"/>
      <c r="N29" s="659"/>
      <c r="O29" s="636"/>
      <c r="P29" s="661"/>
      <c r="Q29" s="661"/>
      <c r="R29" s="661"/>
    </row>
    <row r="30" spans="2:19" ht="20.100000000000001" customHeight="1">
      <c r="B30" s="656" t="s">
        <v>767</v>
      </c>
      <c r="C30" s="633"/>
      <c r="D30" s="633"/>
      <c r="E30" s="633"/>
      <c r="F30" s="633"/>
      <c r="G30" s="633"/>
      <c r="H30" s="638"/>
      <c r="I30" s="633"/>
      <c r="J30" s="633"/>
      <c r="K30" s="633"/>
      <c r="L30" s="649"/>
      <c r="N30" s="663"/>
      <c r="O30" s="636"/>
      <c r="P30" s="661"/>
      <c r="Q30" s="661"/>
      <c r="R30" s="661"/>
    </row>
    <row r="31" spans="2:19" ht="20.100000000000001" customHeight="1">
      <c r="B31" s="664"/>
      <c r="C31" s="633"/>
      <c r="D31" s="633"/>
      <c r="E31" s="633"/>
      <c r="F31" s="633"/>
      <c r="G31" s="633"/>
      <c r="H31" s="638"/>
      <c r="I31" s="633"/>
      <c r="J31" s="633"/>
      <c r="K31" s="633"/>
      <c r="L31" s="649"/>
      <c r="N31" s="665"/>
      <c r="O31" s="636"/>
      <c r="P31" s="661"/>
      <c r="Q31" s="661"/>
      <c r="R31" s="661"/>
    </row>
    <row r="32" spans="2:19" ht="20.100000000000001" customHeight="1">
      <c r="B32" s="648" t="s">
        <v>768</v>
      </c>
      <c r="C32" s="633"/>
      <c r="D32" s="633"/>
      <c r="E32" s="633"/>
      <c r="F32" s="633"/>
      <c r="G32" s="633"/>
      <c r="H32" s="638" t="s">
        <v>601</v>
      </c>
      <c r="I32" s="633"/>
      <c r="J32" s="633"/>
      <c r="K32" s="638" t="s">
        <v>601</v>
      </c>
      <c r="L32" s="649"/>
      <c r="N32" s="665"/>
      <c r="O32" s="636"/>
      <c r="P32" s="661"/>
      <c r="Q32" s="661"/>
      <c r="R32" s="661"/>
    </row>
    <row r="33" spans="2:23" ht="20.100000000000001" customHeight="1" thickBot="1">
      <c r="B33" s="666" t="s">
        <v>769</v>
      </c>
      <c r="C33" s="650"/>
      <c r="D33" s="667"/>
      <c r="E33" s="650"/>
      <c r="F33" s="650"/>
      <c r="G33" s="650"/>
      <c r="H33" s="652" t="s">
        <v>762</v>
      </c>
      <c r="I33" s="650"/>
      <c r="J33" s="650"/>
      <c r="K33" s="652" t="s">
        <v>770</v>
      </c>
      <c r="L33" s="653"/>
      <c r="N33" s="668"/>
      <c r="O33" s="636"/>
      <c r="P33" s="661"/>
      <c r="Q33" s="661"/>
      <c r="R33" s="661"/>
    </row>
    <row r="34" spans="2:23" ht="2.25" customHeight="1" thickBot="1">
      <c r="B34" s="669"/>
      <c r="C34" s="670"/>
      <c r="D34" s="670"/>
      <c r="E34" s="671"/>
      <c r="F34" s="671"/>
      <c r="G34" s="671"/>
      <c r="H34" s="672"/>
      <c r="I34" s="670"/>
      <c r="J34" s="670"/>
      <c r="K34" s="671"/>
      <c r="L34" s="673"/>
      <c r="N34" s="659"/>
      <c r="O34" s="636"/>
      <c r="P34" s="658"/>
      <c r="Q34" s="661"/>
      <c r="R34" s="661"/>
    </row>
    <row r="35" spans="2:23" ht="13.8" thickTop="1">
      <c r="B35" s="674"/>
      <c r="C35" s="675"/>
      <c r="D35" s="675"/>
      <c r="E35" s="675"/>
      <c r="F35" s="675"/>
      <c r="G35" s="675"/>
      <c r="H35" s="675"/>
      <c r="I35" s="675"/>
      <c r="J35" s="675"/>
      <c r="K35" s="675"/>
      <c r="L35" s="676"/>
      <c r="N35" s="659"/>
      <c r="O35" s="636"/>
      <c r="P35" s="661"/>
      <c r="Q35" s="661"/>
      <c r="R35" s="661"/>
    </row>
    <row r="36" spans="2:23" ht="1.5" customHeight="1" thickBot="1">
      <c r="B36" s="677"/>
      <c r="C36" s="678"/>
      <c r="D36" s="679"/>
      <c r="E36" s="679"/>
      <c r="F36" s="679"/>
      <c r="G36" s="680"/>
      <c r="H36" s="681"/>
      <c r="I36" s="682"/>
      <c r="J36" s="682"/>
      <c r="K36" s="682"/>
      <c r="L36" s="683"/>
    </row>
    <row r="37" spans="2:23" ht="26.25" customHeight="1">
      <c r="B37" s="684" t="s">
        <v>645</v>
      </c>
      <c r="C37" s="685"/>
      <c r="D37" s="686"/>
      <c r="E37" s="687">
        <f>'Contractor Cover Sheet IPC 1'!D41</f>
        <v>1</v>
      </c>
      <c r="F37" s="688"/>
      <c r="G37" s="2107" t="s">
        <v>771</v>
      </c>
      <c r="H37" s="2108"/>
      <c r="I37" s="2109" t="s">
        <v>772</v>
      </c>
      <c r="J37" s="2109"/>
      <c r="K37" s="689" t="s">
        <v>773</v>
      </c>
      <c r="L37" s="690" t="s">
        <v>774</v>
      </c>
    </row>
    <row r="38" spans="2:23" ht="18" customHeight="1">
      <c r="B38" s="691"/>
      <c r="C38" s="692"/>
      <c r="D38" s="692"/>
      <c r="E38" s="692"/>
      <c r="F38" s="692"/>
      <c r="G38" s="2110" t="s">
        <v>775</v>
      </c>
      <c r="H38" s="2110"/>
      <c r="I38" s="2111">
        <v>0</v>
      </c>
      <c r="J38" s="2112"/>
      <c r="K38" s="2113">
        <v>0</v>
      </c>
      <c r="L38" s="693"/>
    </row>
    <row r="39" spans="2:23" ht="18.75" customHeight="1" thickBot="1">
      <c r="B39" s="691"/>
      <c r="C39" s="692"/>
      <c r="D39" s="692"/>
      <c r="E39" s="692"/>
      <c r="F39" s="692"/>
      <c r="G39" s="2115" t="s">
        <v>776</v>
      </c>
      <c r="H39" s="2115"/>
      <c r="I39" s="2111">
        <f>'Contractor Cover Sheet IPC 1'!I32</f>
        <v>69891663.981199995</v>
      </c>
      <c r="J39" s="2112"/>
      <c r="K39" s="2114"/>
      <c r="L39" s="694"/>
      <c r="N39" s="695"/>
      <c r="O39" s="626"/>
      <c r="P39" s="696"/>
      <c r="Q39" s="631"/>
      <c r="R39" s="697"/>
      <c r="S39" s="698"/>
      <c r="T39" s="698"/>
      <c r="U39" s="699"/>
      <c r="V39" s="698"/>
      <c r="W39" s="699"/>
    </row>
    <row r="40" spans="2:23">
      <c r="B40" s="700"/>
      <c r="C40" s="701" t="s">
        <v>777</v>
      </c>
      <c r="D40" s="702"/>
      <c r="E40" s="703"/>
      <c r="F40" s="703"/>
      <c r="G40" s="703"/>
      <c r="H40" s="704" t="s">
        <v>637</v>
      </c>
      <c r="I40" s="2116"/>
      <c r="J40" s="2117"/>
      <c r="K40" s="705"/>
      <c r="L40" s="706"/>
      <c r="N40" s="695"/>
      <c r="O40" s="626"/>
      <c r="P40" s="696"/>
      <c r="Q40" s="631"/>
      <c r="R40" s="697"/>
      <c r="S40" s="698"/>
      <c r="T40" s="698"/>
      <c r="U40" s="699"/>
      <c r="V40" s="698"/>
      <c r="W40" s="699"/>
    </row>
    <row r="41" spans="2:23">
      <c r="B41" s="707"/>
      <c r="C41" s="695"/>
      <c r="D41" s="631"/>
      <c r="E41" s="708" t="s">
        <v>778</v>
      </c>
      <c r="F41" s="709"/>
      <c r="G41" s="709"/>
      <c r="H41" s="710"/>
      <c r="I41" s="711"/>
      <c r="J41" s="711"/>
      <c r="K41" s="712"/>
      <c r="L41" s="713"/>
      <c r="N41" s="695"/>
      <c r="O41" s="626"/>
      <c r="P41" s="696"/>
      <c r="Q41" s="631"/>
      <c r="R41" s="697"/>
      <c r="S41" s="698"/>
      <c r="T41" s="698"/>
      <c r="U41" s="699"/>
      <c r="V41" s="698"/>
      <c r="W41" s="699"/>
    </row>
    <row r="42" spans="2:23">
      <c r="B42" s="714" t="s">
        <v>779</v>
      </c>
      <c r="C42" s="634" t="s">
        <v>780</v>
      </c>
      <c r="D42" s="631"/>
      <c r="E42" s="715" t="s">
        <v>781</v>
      </c>
      <c r="F42" s="709"/>
      <c r="G42" s="716" t="s">
        <v>782</v>
      </c>
      <c r="H42" s="717"/>
      <c r="I42" s="718">
        <f>0.14*I39</f>
        <v>9784832.9573679995</v>
      </c>
      <c r="J42" s="711"/>
      <c r="K42" s="712"/>
      <c r="L42" s="713"/>
      <c r="N42" s="695"/>
      <c r="O42" s="626"/>
      <c r="P42" s="696"/>
      <c r="Q42" s="631"/>
      <c r="R42" s="697"/>
      <c r="S42" s="698"/>
      <c r="T42" s="698"/>
      <c r="U42" s="699"/>
      <c r="V42" s="698"/>
      <c r="W42" s="699"/>
    </row>
    <row r="43" spans="2:23">
      <c r="B43" s="707"/>
      <c r="C43" s="634" t="s">
        <v>783</v>
      </c>
      <c r="D43" s="631"/>
      <c r="E43" s="715" t="s">
        <v>781</v>
      </c>
      <c r="F43" s="708"/>
      <c r="G43" s="716" t="s">
        <v>784</v>
      </c>
      <c r="H43" s="717"/>
      <c r="I43" s="719">
        <f>I42-K45</f>
        <v>9784832.9573679995</v>
      </c>
      <c r="J43" s="720"/>
      <c r="K43" s="721"/>
      <c r="L43" s="722"/>
      <c r="N43" s="695"/>
      <c r="O43" s="626"/>
      <c r="P43" s="696"/>
      <c r="Q43" s="631"/>
      <c r="R43" s="697"/>
      <c r="S43" s="698"/>
      <c r="T43" s="698"/>
      <c r="U43" s="699"/>
      <c r="V43" s="698"/>
      <c r="W43" s="699"/>
    </row>
    <row r="44" spans="2:23">
      <c r="B44" s="707"/>
      <c r="C44" s="634" t="s">
        <v>785</v>
      </c>
      <c r="D44" s="631"/>
      <c r="E44" s="715" t="s">
        <v>786</v>
      </c>
      <c r="F44" s="723"/>
      <c r="K44" s="724" t="str">
        <f>IF(K45&gt;I42,"YOU HAVE EXCEEDED MAX MANAGEMENT FEE !!!"," ")</f>
        <v xml:space="preserve"> </v>
      </c>
      <c r="L44" s="725"/>
      <c r="N44" s="695"/>
      <c r="O44" s="626"/>
      <c r="P44" s="726"/>
      <c r="Q44" s="631"/>
      <c r="R44" s="697"/>
      <c r="S44" s="698"/>
      <c r="T44" s="698"/>
      <c r="U44" s="699"/>
      <c r="V44" s="698"/>
      <c r="W44" s="699"/>
    </row>
    <row r="45" spans="2:23">
      <c r="B45" s="707"/>
      <c r="C45" s="634" t="s">
        <v>787</v>
      </c>
      <c r="D45" s="631"/>
      <c r="E45" s="715" t="s">
        <v>786</v>
      </c>
      <c r="F45" s="723"/>
      <c r="G45" s="727" t="s">
        <v>788</v>
      </c>
      <c r="H45" s="728"/>
      <c r="I45" s="720"/>
      <c r="J45" s="720"/>
      <c r="K45" s="729">
        <v>0</v>
      </c>
      <c r="L45" s="730">
        <f>I42-K45</f>
        <v>9784832.9573679995</v>
      </c>
      <c r="N45" s="695"/>
      <c r="O45" s="626"/>
      <c r="P45" s="696"/>
      <c r="Q45" s="631"/>
      <c r="R45" s="697"/>
      <c r="S45" s="698"/>
      <c r="T45" s="698"/>
      <c r="U45" s="699"/>
      <c r="V45" s="698"/>
      <c r="W45" s="699"/>
    </row>
    <row r="46" spans="2:23">
      <c r="B46" s="707"/>
      <c r="C46" s="634" t="s">
        <v>789</v>
      </c>
      <c r="D46" s="631"/>
      <c r="E46" s="715" t="s">
        <v>786</v>
      </c>
      <c r="F46" s="723"/>
      <c r="G46" s="727" t="s">
        <v>790</v>
      </c>
      <c r="H46" s="728"/>
      <c r="I46" s="720"/>
      <c r="J46" s="720"/>
      <c r="K46" s="729">
        <v>0</v>
      </c>
      <c r="L46" s="722"/>
      <c r="N46" s="695"/>
      <c r="O46" s="626"/>
      <c r="P46" s="696"/>
      <c r="Q46" s="631"/>
      <c r="R46" s="697"/>
      <c r="S46" s="698"/>
      <c r="T46" s="698"/>
      <c r="U46" s="699"/>
      <c r="V46" s="698"/>
      <c r="W46" s="699"/>
    </row>
    <row r="47" spans="2:23">
      <c r="B47" s="707"/>
      <c r="C47" s="634" t="s">
        <v>791</v>
      </c>
      <c r="D47" s="631"/>
      <c r="E47" s="715" t="s">
        <v>786</v>
      </c>
      <c r="F47" s="723"/>
      <c r="G47" s="731" t="s">
        <v>792</v>
      </c>
      <c r="H47" s="728"/>
      <c r="I47" s="720"/>
      <c r="J47" s="720"/>
      <c r="K47" s="732">
        <f>K45-K46</f>
        <v>0</v>
      </c>
      <c r="L47" s="733" t="s">
        <v>671</v>
      </c>
      <c r="N47" s="695"/>
      <c r="O47" s="626"/>
      <c r="P47" s="696"/>
      <c r="Q47" s="631"/>
      <c r="R47" s="697"/>
      <c r="S47" s="698"/>
      <c r="T47" s="698"/>
      <c r="U47" s="699"/>
      <c r="V47" s="698"/>
      <c r="W47" s="699"/>
    </row>
    <row r="48" spans="2:23" ht="13.8" thickBot="1">
      <c r="B48" s="734"/>
      <c r="C48" s="735"/>
      <c r="D48" s="736"/>
      <c r="E48" s="737"/>
      <c r="F48" s="738"/>
      <c r="G48" s="739"/>
      <c r="H48" s="740"/>
      <c r="I48" s="741"/>
      <c r="J48" s="741"/>
      <c r="K48" s="742"/>
      <c r="L48" s="743"/>
      <c r="N48" s="695"/>
      <c r="O48" s="626"/>
      <c r="P48" s="696"/>
      <c r="Q48" s="631"/>
      <c r="R48" s="697"/>
      <c r="S48" s="698"/>
      <c r="T48" s="698"/>
      <c r="U48" s="699"/>
      <c r="V48" s="698"/>
      <c r="W48" s="699"/>
    </row>
    <row r="49" spans="1:28">
      <c r="A49" s="631"/>
      <c r="B49" s="700"/>
      <c r="C49" s="744" t="s">
        <v>793</v>
      </c>
      <c r="D49" s="744"/>
      <c r="E49" s="745"/>
      <c r="F49" s="745"/>
      <c r="G49" s="745"/>
      <c r="H49" s="704" t="s">
        <v>637</v>
      </c>
      <c r="I49" s="2118" t="str">
        <f>B9</f>
        <v>23/05/2018</v>
      </c>
      <c r="J49" s="2119"/>
      <c r="K49" s="746" t="s">
        <v>794</v>
      </c>
      <c r="L49" s="706"/>
      <c r="N49" s="747"/>
      <c r="O49" s="747"/>
      <c r="P49" s="747"/>
      <c r="Q49" s="748"/>
      <c r="R49" s="749"/>
      <c r="S49" s="750"/>
      <c r="T49" s="749"/>
      <c r="U49" s="749"/>
      <c r="V49" s="750"/>
      <c r="W49" s="751"/>
    </row>
    <row r="50" spans="1:28">
      <c r="B50" s="752"/>
      <c r="D50" s="619" t="s">
        <v>795</v>
      </c>
      <c r="E50" s="631"/>
      <c r="F50" s="631"/>
      <c r="I50" s="631" t="s">
        <v>654</v>
      </c>
      <c r="J50" s="631"/>
      <c r="K50" s="753">
        <f>'Contractor Cover Sheet IPC 1'!I44</f>
        <v>0</v>
      </c>
      <c r="L50" s="754"/>
      <c r="N50" s="755"/>
      <c r="O50" s="755"/>
      <c r="P50" s="755"/>
      <c r="Q50" s="692"/>
      <c r="R50" s="756"/>
      <c r="S50" s="757"/>
      <c r="T50" s="758"/>
      <c r="U50" s="756"/>
      <c r="V50" s="757"/>
      <c r="W50" s="751"/>
    </row>
    <row r="51" spans="1:28">
      <c r="B51" s="752"/>
      <c r="D51" s="619" t="s">
        <v>655</v>
      </c>
      <c r="E51" s="631"/>
      <c r="F51" s="631"/>
      <c r="I51" s="631" t="s">
        <v>654</v>
      </c>
      <c r="J51" s="631"/>
      <c r="K51" s="753"/>
      <c r="L51" s="754"/>
      <c r="N51" s="755"/>
      <c r="O51" s="755"/>
      <c r="P51" s="755"/>
      <c r="Q51" s="692"/>
      <c r="R51" s="759"/>
      <c r="S51" s="757"/>
      <c r="T51" s="758"/>
      <c r="U51" s="756"/>
      <c r="V51" s="757"/>
      <c r="W51" s="751"/>
      <c r="AB51" s="727"/>
    </row>
    <row r="52" spans="1:28">
      <c r="B52" s="752"/>
      <c r="D52" s="619" t="s">
        <v>657</v>
      </c>
      <c r="E52" s="631"/>
      <c r="F52" s="631"/>
      <c r="I52" s="631" t="s">
        <v>654</v>
      </c>
      <c r="J52" s="631"/>
      <c r="K52" s="753"/>
      <c r="L52" s="754"/>
      <c r="N52" s="755"/>
      <c r="O52" s="755"/>
      <c r="P52" s="755"/>
      <c r="Q52" s="692"/>
      <c r="R52" s="759"/>
      <c r="S52" s="757"/>
      <c r="T52" s="758"/>
      <c r="U52" s="756"/>
      <c r="V52" s="757"/>
      <c r="W52" s="751"/>
    </row>
    <row r="53" spans="1:28">
      <c r="B53" s="752"/>
      <c r="D53" s="619" t="s">
        <v>796</v>
      </c>
      <c r="E53" s="631"/>
      <c r="F53" s="631"/>
      <c r="I53" s="631" t="s">
        <v>654</v>
      </c>
      <c r="J53" s="631"/>
      <c r="K53" s="760"/>
      <c r="L53" s="754"/>
      <c r="N53" s="692"/>
      <c r="O53" s="692"/>
      <c r="P53" s="692"/>
      <c r="Q53" s="692"/>
      <c r="R53" s="759"/>
      <c r="S53" s="757"/>
      <c r="T53" s="758"/>
      <c r="U53" s="756"/>
      <c r="V53" s="757"/>
      <c r="W53" s="761"/>
    </row>
    <row r="54" spans="1:28">
      <c r="B54" s="752"/>
      <c r="H54" s="762"/>
      <c r="I54" s="762" t="s">
        <v>662</v>
      </c>
      <c r="J54" s="762"/>
      <c r="K54" s="763">
        <f>SUM(K50:K52)-K53</f>
        <v>0</v>
      </c>
      <c r="L54" s="754"/>
      <c r="N54" s="755"/>
      <c r="O54" s="755"/>
      <c r="P54" s="755"/>
      <c r="Q54" s="692"/>
    </row>
    <row r="55" spans="1:28">
      <c r="B55" s="752"/>
      <c r="D55" s="619" t="s">
        <v>797</v>
      </c>
      <c r="G55" s="728"/>
      <c r="H55" s="631"/>
      <c r="I55" s="631" t="s">
        <v>654</v>
      </c>
      <c r="J55" s="631"/>
      <c r="K55" s="753">
        <v>0</v>
      </c>
      <c r="L55" s="754"/>
      <c r="N55" s="692"/>
      <c r="O55" s="692"/>
      <c r="P55" s="692"/>
      <c r="Q55" s="692"/>
    </row>
    <row r="56" spans="1:28">
      <c r="B56" s="752"/>
      <c r="H56" s="631"/>
      <c r="I56" s="764" t="s">
        <v>662</v>
      </c>
      <c r="J56" s="764"/>
      <c r="K56" s="763">
        <f>K54+K55</f>
        <v>0</v>
      </c>
      <c r="L56" s="754"/>
      <c r="N56" s="692"/>
      <c r="O56" s="692"/>
      <c r="P56" s="692"/>
      <c r="Q56" s="692"/>
    </row>
    <row r="57" spans="1:28">
      <c r="B57" s="752"/>
      <c r="G57" s="765"/>
      <c r="H57" s="631"/>
      <c r="I57" s="631" t="s">
        <v>855</v>
      </c>
      <c r="J57" s="631"/>
      <c r="K57" s="766">
        <f>(13724512.8205*0.14)+((K50-13724512.8205)*0.15)</f>
        <v>-137245.12820499972</v>
      </c>
      <c r="L57" s="754"/>
      <c r="N57" s="692"/>
      <c r="O57" s="692"/>
      <c r="P57" s="692"/>
      <c r="Q57" s="692"/>
    </row>
    <row r="58" spans="1:28" ht="13.8" thickBot="1">
      <c r="B58" s="752"/>
      <c r="G58" s="765"/>
      <c r="H58" s="631"/>
      <c r="I58" s="764" t="s">
        <v>662</v>
      </c>
      <c r="J58" s="764"/>
      <c r="K58" s="767">
        <f>+K56+K57</f>
        <v>-137245.12820499972</v>
      </c>
      <c r="L58" s="713"/>
      <c r="N58" s="692"/>
      <c r="O58" s="692"/>
      <c r="P58" s="692"/>
      <c r="Q58" s="692"/>
    </row>
    <row r="59" spans="1:28" ht="14.4" thickTop="1" thickBot="1">
      <c r="B59" s="768"/>
      <c r="C59" s="631"/>
      <c r="D59" s="631"/>
      <c r="E59" s="631"/>
      <c r="F59" s="631"/>
      <c r="G59" s="769" t="s">
        <v>798</v>
      </c>
      <c r="K59" s="770">
        <f>(13724512.8205*1.14)+((K50-13724512.8205)*1.15)</f>
        <v>-137245.12820499949</v>
      </c>
      <c r="L59" s="771">
        <f>I39-K59</f>
        <v>70028909.109404996</v>
      </c>
      <c r="N59" s="755"/>
      <c r="O59" s="755"/>
      <c r="P59" s="755"/>
      <c r="Q59" s="692"/>
    </row>
    <row r="60" spans="1:28" ht="13.8" thickTop="1">
      <c r="B60" s="768"/>
      <c r="C60" s="631"/>
      <c r="D60" s="631"/>
      <c r="E60" s="631"/>
      <c r="F60" s="631"/>
      <c r="G60" s="634" t="s">
        <v>799</v>
      </c>
      <c r="K60" s="770"/>
      <c r="L60" s="713"/>
      <c r="N60" s="772"/>
      <c r="O60" s="772"/>
      <c r="P60" s="772"/>
      <c r="Q60" s="772"/>
    </row>
    <row r="61" spans="1:28">
      <c r="B61" s="773"/>
      <c r="C61" s="696"/>
      <c r="D61" s="696"/>
      <c r="E61" s="696"/>
      <c r="F61" s="696"/>
      <c r="G61" s="769" t="s">
        <v>800</v>
      </c>
      <c r="I61" s="696"/>
      <c r="J61" s="696"/>
      <c r="K61" s="774">
        <f>+K59-K60</f>
        <v>-137245.12820499949</v>
      </c>
      <c r="L61" s="733" t="s">
        <v>801</v>
      </c>
    </row>
    <row r="62" spans="1:28">
      <c r="B62" s="773"/>
      <c r="C62" s="696"/>
      <c r="D62" s="696"/>
      <c r="E62" s="696"/>
      <c r="F62" s="696"/>
      <c r="G62" s="769" t="s">
        <v>802</v>
      </c>
      <c r="I62" s="696"/>
      <c r="J62" s="696"/>
      <c r="K62" s="775">
        <f>K61*0.1</f>
        <v>-13724.512820499949</v>
      </c>
      <c r="L62" s="733"/>
    </row>
    <row r="63" spans="1:28">
      <c r="B63" s="773"/>
      <c r="C63" s="696"/>
      <c r="D63" s="696"/>
      <c r="E63" s="696"/>
      <c r="F63" s="696"/>
      <c r="G63" s="769" t="s">
        <v>803</v>
      </c>
      <c r="I63" s="696"/>
      <c r="J63" s="696"/>
      <c r="K63" s="775">
        <f>K61-K62</f>
        <v>-123520.61538449954</v>
      </c>
      <c r="L63" s="733"/>
    </row>
    <row r="64" spans="1:28" ht="13.8" thickBot="1">
      <c r="B64" s="776"/>
      <c r="C64" s="736"/>
      <c r="D64" s="736"/>
      <c r="E64" s="736"/>
      <c r="F64" s="736"/>
      <c r="G64" s="777" t="s">
        <v>804</v>
      </c>
      <c r="H64" s="778"/>
      <c r="I64" s="779"/>
      <c r="J64" s="779"/>
      <c r="K64" s="780">
        <f>K47+K61</f>
        <v>-137245.12820499949</v>
      </c>
      <c r="L64" s="781" t="s">
        <v>805</v>
      </c>
    </row>
    <row r="65" spans="1:13">
      <c r="B65" s="782"/>
      <c r="C65" s="631"/>
      <c r="D65" s="631"/>
      <c r="E65" s="631"/>
      <c r="F65" s="631"/>
      <c r="G65" s="783"/>
      <c r="H65" s="626"/>
      <c r="I65" s="765"/>
      <c r="J65" s="765"/>
      <c r="K65" s="772"/>
      <c r="L65" s="784"/>
    </row>
    <row r="66" spans="1:13">
      <c r="B66" s="782"/>
      <c r="C66" s="631"/>
      <c r="D66" s="631"/>
      <c r="E66" s="785" t="s">
        <v>806</v>
      </c>
      <c r="F66" s="631"/>
      <c r="G66" s="786" t="s">
        <v>807</v>
      </c>
      <c r="H66" s="787"/>
      <c r="I66" s="788" t="s">
        <v>806</v>
      </c>
      <c r="J66" s="788"/>
      <c r="K66" s="789">
        <f>K47</f>
        <v>0</v>
      </c>
      <c r="L66" s="784"/>
    </row>
    <row r="67" spans="1:13">
      <c r="B67" s="790" t="s">
        <v>808</v>
      </c>
      <c r="C67" s="788"/>
      <c r="D67" s="791"/>
      <c r="E67" s="792"/>
      <c r="F67" s="793"/>
      <c r="G67" s="786" t="s">
        <v>809</v>
      </c>
      <c r="H67" s="787"/>
      <c r="I67" s="788" t="s">
        <v>806</v>
      </c>
      <c r="J67" s="788"/>
      <c r="K67" s="794">
        <f>K64-K66-K68-K69</f>
        <v>-123520.61538449954</v>
      </c>
      <c r="L67" s="795"/>
    </row>
    <row r="68" spans="1:13">
      <c r="B68" s="790" t="s">
        <v>810</v>
      </c>
      <c r="C68" s="788"/>
      <c r="D68" s="791"/>
      <c r="E68" s="796">
        <f>K62</f>
        <v>-13724.512820499949</v>
      </c>
      <c r="F68" s="797"/>
      <c r="G68" s="786" t="s">
        <v>811</v>
      </c>
      <c r="H68" s="787"/>
      <c r="I68" s="788" t="s">
        <v>806</v>
      </c>
      <c r="J68" s="788"/>
      <c r="K68" s="798">
        <f>'Contractor Cover Sheet IPC 1'!V56</f>
        <v>0</v>
      </c>
      <c r="L68" s="784"/>
    </row>
    <row r="69" spans="1:13" ht="13.8" thickBot="1">
      <c r="B69" s="790" t="s">
        <v>812</v>
      </c>
      <c r="C69" s="788"/>
      <c r="D69" s="791"/>
      <c r="E69" s="796">
        <f>E67+E68</f>
        <v>-13724.512820499949</v>
      </c>
      <c r="F69" s="797"/>
      <c r="G69" s="786" t="s">
        <v>810</v>
      </c>
      <c r="H69" s="787"/>
      <c r="I69" s="788" t="s">
        <v>806</v>
      </c>
      <c r="J69" s="788"/>
      <c r="K69" s="799">
        <f>E68</f>
        <v>-13724.512820499949</v>
      </c>
      <c r="L69" s="784"/>
    </row>
    <row r="70" spans="1:13" ht="14.4" thickTop="1" thickBot="1">
      <c r="A70" s="631"/>
      <c r="B70" s="790"/>
      <c r="C70" s="800"/>
      <c r="D70" s="801" t="s">
        <v>813</v>
      </c>
      <c r="E70" s="802">
        <v>0.1</v>
      </c>
      <c r="F70" s="631"/>
      <c r="G70" s="786" t="s">
        <v>814</v>
      </c>
      <c r="H70" s="787"/>
      <c r="I70" s="788" t="s">
        <v>806</v>
      </c>
      <c r="J70" s="788"/>
      <c r="K70" s="803">
        <f>SUM(K66:K69)</f>
        <v>-137245.12820499949</v>
      </c>
      <c r="L70" s="784"/>
    </row>
    <row r="71" spans="1:13" ht="13.8" thickTop="1">
      <c r="A71" s="631"/>
      <c r="B71" s="804"/>
      <c r="C71" s="804"/>
      <c r="D71" s="804"/>
      <c r="E71" s="804"/>
      <c r="F71" s="804"/>
      <c r="G71" s="804"/>
      <c r="H71" s="804"/>
      <c r="I71" s="805"/>
      <c r="J71" s="805"/>
      <c r="K71" s="806"/>
      <c r="L71" s="807"/>
    </row>
    <row r="72" spans="1:13">
      <c r="A72" s="631"/>
      <c r="B72" s="631"/>
      <c r="C72" s="631"/>
      <c r="D72" s="631"/>
      <c r="E72" s="631"/>
      <c r="F72" s="631"/>
      <c r="G72" s="631"/>
      <c r="H72" s="631"/>
      <c r="I72" s="808"/>
      <c r="J72" s="808"/>
      <c r="K72" s="809"/>
      <c r="L72" s="810"/>
    </row>
    <row r="73" spans="1:13" ht="27" customHeight="1">
      <c r="A73" s="631"/>
      <c r="B73" s="631"/>
      <c r="C73" s="631"/>
      <c r="D73" s="631"/>
      <c r="E73" s="631"/>
      <c r="F73" s="631"/>
      <c r="G73" s="631"/>
      <c r="H73" s="631"/>
      <c r="I73" s="808"/>
      <c r="J73" s="808"/>
      <c r="K73" s="809"/>
      <c r="L73" s="810"/>
    </row>
    <row r="74" spans="1:13" ht="21" customHeight="1">
      <c r="A74" s="631"/>
      <c r="B74" s="2120" t="str">
        <f>+B1</f>
        <v xml:space="preserve">  IMPLEMENTING  AGENT: GREATER GIYANI MUNICIPALITY</v>
      </c>
      <c r="C74" s="2120"/>
      <c r="D74" s="2120"/>
      <c r="E74" s="2120"/>
      <c r="F74" s="2120"/>
      <c r="G74" s="2120"/>
      <c r="H74" s="2120"/>
      <c r="I74" s="2120"/>
      <c r="J74" s="2120"/>
      <c r="K74" s="2120"/>
      <c r="L74" s="2120"/>
    </row>
    <row r="75" spans="1:13" ht="21" customHeight="1">
      <c r="A75" s="631"/>
      <c r="B75" s="631"/>
      <c r="C75" s="631"/>
      <c r="D75" s="631"/>
      <c r="E75" s="631"/>
      <c r="F75" s="631"/>
      <c r="G75" s="631"/>
      <c r="H75" s="631"/>
      <c r="I75" s="808"/>
      <c r="J75" s="808"/>
      <c r="K75" s="809"/>
      <c r="L75" s="810"/>
    </row>
    <row r="76" spans="1:13" ht="33" customHeight="1">
      <c r="A76" s="631"/>
      <c r="B76" s="623"/>
      <c r="D76" s="731"/>
      <c r="E76" s="623" t="s">
        <v>743</v>
      </c>
      <c r="F76" s="623"/>
      <c r="G76" s="625"/>
      <c r="H76" s="811" t="str">
        <f>H4</f>
        <v>CONSTRUCTION OF GIYANI WASTE DISPOSAL SITE</v>
      </c>
      <c r="I76" s="811"/>
      <c r="J76" s="811"/>
      <c r="K76" s="811"/>
      <c r="L76" s="811"/>
    </row>
    <row r="77" spans="1:13" ht="20.100000000000001" customHeight="1" thickBot="1">
      <c r="B77" s="631"/>
      <c r="C77" s="631"/>
      <c r="D77" s="631"/>
      <c r="E77" s="631"/>
      <c r="F77" s="631"/>
      <c r="G77" s="631"/>
      <c r="H77" s="631"/>
      <c r="I77" s="808"/>
      <c r="J77" s="808"/>
      <c r="K77" s="809"/>
      <c r="L77" s="810"/>
    </row>
    <row r="78" spans="1:13" ht="31.5" customHeight="1">
      <c r="B78" s="812"/>
      <c r="C78" s="813"/>
      <c r="D78" s="813"/>
      <c r="E78" s="814" t="s">
        <v>815</v>
      </c>
      <c r="F78" s="814"/>
      <c r="G78" s="813"/>
      <c r="H78" s="815"/>
      <c r="I78" s="816"/>
      <c r="J78" s="816"/>
      <c r="K78" s="817"/>
      <c r="L78" s="818"/>
      <c r="M78" s="727"/>
    </row>
    <row r="79" spans="1:13" ht="27.75" customHeight="1">
      <c r="B79" s="819" t="s">
        <v>816</v>
      </c>
      <c r="C79" s="820" t="s">
        <v>637</v>
      </c>
      <c r="D79" s="2121" t="s">
        <v>817</v>
      </c>
      <c r="E79" s="2122"/>
      <c r="F79" s="821"/>
      <c r="G79" s="822" t="s">
        <v>818</v>
      </c>
      <c r="H79" s="823" t="s">
        <v>731</v>
      </c>
      <c r="I79" s="2121" t="s">
        <v>819</v>
      </c>
      <c r="J79" s="2123"/>
      <c r="K79" s="824" t="s">
        <v>820</v>
      </c>
      <c r="L79" s="825"/>
      <c r="M79" s="727"/>
    </row>
    <row r="80" spans="1:13" ht="15" customHeight="1">
      <c r="B80" s="826">
        <v>1</v>
      </c>
      <c r="C80" s="827"/>
      <c r="D80" s="2096"/>
      <c r="E80" s="2097"/>
      <c r="F80" s="828"/>
      <c r="G80" s="829"/>
      <c r="H80" s="830"/>
      <c r="I80" s="2096"/>
      <c r="J80" s="2098"/>
      <c r="K80" s="831">
        <f t="shared" ref="K80:K99" si="0">SUM(D80:I80)</f>
        <v>0</v>
      </c>
      <c r="L80" s="832"/>
      <c r="M80" s="727"/>
    </row>
    <row r="81" spans="2:13" ht="15" customHeight="1">
      <c r="B81" s="826">
        <v>2</v>
      </c>
      <c r="C81" s="827"/>
      <c r="D81" s="2096"/>
      <c r="E81" s="2097"/>
      <c r="F81" s="828"/>
      <c r="G81" s="829"/>
      <c r="H81" s="830"/>
      <c r="I81" s="2096"/>
      <c r="J81" s="2098"/>
      <c r="K81" s="831">
        <f t="shared" si="0"/>
        <v>0</v>
      </c>
      <c r="L81" s="833"/>
      <c r="M81" s="727"/>
    </row>
    <row r="82" spans="2:13" ht="15" customHeight="1">
      <c r="B82" s="826">
        <v>3</v>
      </c>
      <c r="C82" s="827"/>
      <c r="D82" s="2096"/>
      <c r="E82" s="2097"/>
      <c r="F82" s="828"/>
      <c r="G82" s="829"/>
      <c r="H82" s="830"/>
      <c r="I82" s="2096"/>
      <c r="J82" s="2098"/>
      <c r="K82" s="831">
        <f t="shared" si="0"/>
        <v>0</v>
      </c>
      <c r="L82" s="833"/>
      <c r="M82" s="727"/>
    </row>
    <row r="83" spans="2:13" ht="15" customHeight="1">
      <c r="B83" s="826">
        <v>4</v>
      </c>
      <c r="C83" s="827"/>
      <c r="D83" s="2096"/>
      <c r="E83" s="2097"/>
      <c r="F83" s="828"/>
      <c r="G83" s="829"/>
      <c r="H83" s="830"/>
      <c r="I83" s="2096"/>
      <c r="J83" s="2098"/>
      <c r="K83" s="831">
        <f t="shared" si="0"/>
        <v>0</v>
      </c>
      <c r="L83" s="833"/>
      <c r="M83" s="727"/>
    </row>
    <row r="84" spans="2:13" ht="15" customHeight="1">
      <c r="B84" s="826">
        <v>5</v>
      </c>
      <c r="C84" s="827"/>
      <c r="D84" s="2096"/>
      <c r="E84" s="2097"/>
      <c r="F84" s="828"/>
      <c r="G84" s="829"/>
      <c r="H84" s="830"/>
      <c r="I84" s="2096"/>
      <c r="J84" s="2098"/>
      <c r="K84" s="831">
        <f t="shared" si="0"/>
        <v>0</v>
      </c>
      <c r="L84" s="833"/>
      <c r="M84" s="727"/>
    </row>
    <row r="85" spans="2:13" ht="15" customHeight="1">
      <c r="B85" s="826">
        <v>6</v>
      </c>
      <c r="C85" s="827"/>
      <c r="D85" s="2096"/>
      <c r="E85" s="2097"/>
      <c r="F85" s="828"/>
      <c r="G85" s="829"/>
      <c r="H85" s="830"/>
      <c r="I85" s="2096"/>
      <c r="J85" s="2098"/>
      <c r="K85" s="831">
        <f t="shared" si="0"/>
        <v>0</v>
      </c>
      <c r="L85" s="833"/>
      <c r="M85" s="727"/>
    </row>
    <row r="86" spans="2:13" ht="15" customHeight="1">
      <c r="B86" s="826">
        <v>7</v>
      </c>
      <c r="C86" s="827"/>
      <c r="D86" s="2096"/>
      <c r="E86" s="2097"/>
      <c r="F86" s="828"/>
      <c r="G86" s="829"/>
      <c r="H86" s="830"/>
      <c r="I86" s="2096"/>
      <c r="J86" s="2098"/>
      <c r="K86" s="831">
        <f t="shared" si="0"/>
        <v>0</v>
      </c>
      <c r="L86" s="833"/>
      <c r="M86" s="727"/>
    </row>
    <row r="87" spans="2:13" ht="15" customHeight="1">
      <c r="B87" s="826">
        <v>8</v>
      </c>
      <c r="C87" s="827"/>
      <c r="D87" s="2096"/>
      <c r="E87" s="2097"/>
      <c r="F87" s="828"/>
      <c r="G87" s="829"/>
      <c r="H87" s="830"/>
      <c r="I87" s="2096"/>
      <c r="J87" s="2098"/>
      <c r="K87" s="831">
        <f t="shared" si="0"/>
        <v>0</v>
      </c>
      <c r="L87" s="833"/>
      <c r="M87" s="727"/>
    </row>
    <row r="88" spans="2:13" ht="15" customHeight="1">
      <c r="B88" s="826">
        <v>9</v>
      </c>
      <c r="C88" s="827"/>
      <c r="D88" s="2096"/>
      <c r="E88" s="2097"/>
      <c r="F88" s="828"/>
      <c r="G88" s="829"/>
      <c r="H88" s="830"/>
      <c r="I88" s="2096"/>
      <c r="J88" s="2098"/>
      <c r="K88" s="831">
        <f t="shared" si="0"/>
        <v>0</v>
      </c>
      <c r="L88" s="833"/>
      <c r="M88" s="727"/>
    </row>
    <row r="89" spans="2:13" ht="15" customHeight="1">
      <c r="B89" s="826">
        <v>10</v>
      </c>
      <c r="C89" s="827"/>
      <c r="D89" s="2096"/>
      <c r="E89" s="2097"/>
      <c r="F89" s="828"/>
      <c r="G89" s="829"/>
      <c r="H89" s="830"/>
      <c r="I89" s="2096"/>
      <c r="J89" s="2098"/>
      <c r="K89" s="831">
        <f t="shared" si="0"/>
        <v>0</v>
      </c>
      <c r="L89" s="833"/>
      <c r="M89" s="727"/>
    </row>
    <row r="90" spans="2:13" ht="15" customHeight="1">
      <c r="B90" s="826">
        <v>11</v>
      </c>
      <c r="C90" s="827"/>
      <c r="D90" s="2096"/>
      <c r="E90" s="2097"/>
      <c r="F90" s="828"/>
      <c r="G90" s="829"/>
      <c r="H90" s="830"/>
      <c r="I90" s="2096"/>
      <c r="J90" s="2098"/>
      <c r="K90" s="831">
        <f t="shared" si="0"/>
        <v>0</v>
      </c>
      <c r="L90" s="833"/>
      <c r="M90" s="727"/>
    </row>
    <row r="91" spans="2:13" ht="15" customHeight="1">
      <c r="B91" s="826">
        <v>12</v>
      </c>
      <c r="C91" s="827"/>
      <c r="D91" s="2096"/>
      <c r="E91" s="2097"/>
      <c r="F91" s="828"/>
      <c r="G91" s="829"/>
      <c r="H91" s="830"/>
      <c r="I91" s="2096"/>
      <c r="J91" s="2098"/>
      <c r="K91" s="831">
        <f t="shared" si="0"/>
        <v>0</v>
      </c>
      <c r="L91" s="833"/>
      <c r="M91" s="727"/>
    </row>
    <row r="92" spans="2:13" ht="15" customHeight="1">
      <c r="B92" s="826">
        <v>13</v>
      </c>
      <c r="C92" s="827"/>
      <c r="D92" s="2096"/>
      <c r="E92" s="2097"/>
      <c r="F92" s="828"/>
      <c r="G92" s="829"/>
      <c r="H92" s="830"/>
      <c r="I92" s="2096"/>
      <c r="J92" s="2098"/>
      <c r="K92" s="831">
        <f t="shared" si="0"/>
        <v>0</v>
      </c>
      <c r="L92" s="833"/>
      <c r="M92" s="727"/>
    </row>
    <row r="93" spans="2:13" ht="15" customHeight="1">
      <c r="B93" s="826">
        <v>14</v>
      </c>
      <c r="C93" s="827"/>
      <c r="D93" s="2096"/>
      <c r="E93" s="2097"/>
      <c r="F93" s="828"/>
      <c r="G93" s="829"/>
      <c r="H93" s="830"/>
      <c r="I93" s="2096"/>
      <c r="J93" s="2098"/>
      <c r="K93" s="831">
        <f t="shared" si="0"/>
        <v>0</v>
      </c>
      <c r="L93" s="833"/>
      <c r="M93" s="727"/>
    </row>
    <row r="94" spans="2:13" ht="15" customHeight="1">
      <c r="B94" s="826">
        <v>15</v>
      </c>
      <c r="C94" s="827"/>
      <c r="D94" s="2096"/>
      <c r="E94" s="2097"/>
      <c r="F94" s="828"/>
      <c r="G94" s="829"/>
      <c r="H94" s="830"/>
      <c r="I94" s="2096"/>
      <c r="J94" s="2098"/>
      <c r="K94" s="831">
        <f t="shared" si="0"/>
        <v>0</v>
      </c>
      <c r="L94" s="833"/>
      <c r="M94" s="727"/>
    </row>
    <row r="95" spans="2:13" ht="15" customHeight="1">
      <c r="B95" s="826">
        <v>16</v>
      </c>
      <c r="C95" s="827"/>
      <c r="D95" s="2096"/>
      <c r="E95" s="2097"/>
      <c r="F95" s="828"/>
      <c r="G95" s="829"/>
      <c r="H95" s="830"/>
      <c r="I95" s="2096"/>
      <c r="J95" s="2098"/>
      <c r="K95" s="831">
        <f t="shared" si="0"/>
        <v>0</v>
      </c>
      <c r="L95" s="833"/>
      <c r="M95" s="727"/>
    </row>
    <row r="96" spans="2:13" ht="15" customHeight="1">
      <c r="B96" s="826">
        <v>17</v>
      </c>
      <c r="C96" s="827"/>
      <c r="D96" s="2096"/>
      <c r="E96" s="2097"/>
      <c r="F96" s="828"/>
      <c r="G96" s="829"/>
      <c r="H96" s="830"/>
      <c r="I96" s="2096"/>
      <c r="J96" s="2098"/>
      <c r="K96" s="831">
        <f t="shared" si="0"/>
        <v>0</v>
      </c>
      <c r="L96" s="833"/>
      <c r="M96" s="727"/>
    </row>
    <row r="97" spans="1:19" ht="15" customHeight="1">
      <c r="B97" s="826">
        <v>18</v>
      </c>
      <c r="C97" s="827"/>
      <c r="D97" s="2096"/>
      <c r="E97" s="2097"/>
      <c r="F97" s="828"/>
      <c r="G97" s="829"/>
      <c r="H97" s="830"/>
      <c r="I97" s="2096"/>
      <c r="J97" s="2098"/>
      <c r="K97" s="831">
        <f t="shared" si="0"/>
        <v>0</v>
      </c>
      <c r="L97" s="833"/>
      <c r="M97" s="727"/>
    </row>
    <row r="98" spans="1:19" ht="15" customHeight="1">
      <c r="B98" s="826">
        <v>19</v>
      </c>
      <c r="C98" s="827"/>
      <c r="D98" s="2096"/>
      <c r="E98" s="2097"/>
      <c r="F98" s="828"/>
      <c r="G98" s="829"/>
      <c r="H98" s="830"/>
      <c r="I98" s="2096"/>
      <c r="J98" s="2098"/>
      <c r="K98" s="831">
        <f t="shared" si="0"/>
        <v>0</v>
      </c>
      <c r="L98" s="833"/>
      <c r="M98" s="727"/>
    </row>
    <row r="99" spans="1:19" ht="15" customHeight="1">
      <c r="B99" s="826">
        <v>20</v>
      </c>
      <c r="C99" s="827"/>
      <c r="D99" s="2096"/>
      <c r="E99" s="2097"/>
      <c r="F99" s="828"/>
      <c r="G99" s="829"/>
      <c r="H99" s="830"/>
      <c r="I99" s="2096"/>
      <c r="J99" s="2098"/>
      <c r="K99" s="831">
        <f t="shared" si="0"/>
        <v>0</v>
      </c>
      <c r="L99" s="833"/>
      <c r="M99" s="727"/>
    </row>
    <row r="100" spans="1:19" ht="13.8" thickBot="1">
      <c r="A100" s="631"/>
      <c r="B100" s="2099" t="s">
        <v>566</v>
      </c>
      <c r="C100" s="2100"/>
      <c r="D100" s="834"/>
      <c r="E100" s="835"/>
      <c r="F100" s="2101">
        <f>SUM(G80:G99)</f>
        <v>0</v>
      </c>
      <c r="G100" s="2102"/>
      <c r="H100" s="834">
        <f>SUM(H80:H99)</f>
        <v>0</v>
      </c>
      <c r="I100" s="2101">
        <f>SUM(I80:I99)</f>
        <v>0</v>
      </c>
      <c r="J100" s="2103"/>
      <c r="K100" s="836">
        <f>SUM(K80:K99)</f>
        <v>0</v>
      </c>
      <c r="L100" s="837"/>
      <c r="M100" s="727"/>
      <c r="N100" s="623"/>
      <c r="P100" s="838"/>
      <c r="Q100" s="709"/>
      <c r="R100" s="839"/>
      <c r="S100" s="839"/>
    </row>
    <row r="101" spans="1:19">
      <c r="A101" s="631"/>
      <c r="B101" s="727"/>
      <c r="C101" s="727"/>
      <c r="D101" s="727"/>
      <c r="E101" s="727"/>
      <c r="F101" s="727"/>
      <c r="G101" s="727"/>
      <c r="H101" s="727"/>
      <c r="I101" s="727"/>
      <c r="J101" s="727"/>
      <c r="K101" s="727"/>
      <c r="L101" s="709"/>
      <c r="M101" s="727"/>
    </row>
    <row r="102" spans="1:19">
      <c r="A102" s="631"/>
      <c r="B102" s="727"/>
      <c r="C102" s="727"/>
      <c r="D102" s="727"/>
      <c r="E102" s="727"/>
      <c r="F102" s="727"/>
      <c r="G102" s="727"/>
      <c r="H102" s="727"/>
      <c r="I102" s="727"/>
      <c r="J102" s="727"/>
      <c r="K102" s="727"/>
      <c r="L102" s="709"/>
      <c r="M102" s="727"/>
    </row>
    <row r="103" spans="1:19">
      <c r="A103" s="631"/>
      <c r="L103" s="631"/>
    </row>
    <row r="104" spans="1:19">
      <c r="A104" s="631"/>
      <c r="L104" s="631"/>
    </row>
    <row r="105" spans="1:19">
      <c r="A105" s="631"/>
      <c r="L105" s="631"/>
    </row>
    <row r="112" spans="1:19">
      <c r="A112" s="631"/>
      <c r="C112" s="631"/>
      <c r="D112" s="631"/>
      <c r="E112" s="631"/>
      <c r="F112" s="631"/>
      <c r="G112" s="631"/>
      <c r="H112" s="631"/>
      <c r="I112" s="631"/>
      <c r="J112" s="631"/>
      <c r="K112" s="631"/>
      <c r="L112" s="631"/>
    </row>
  </sheetData>
  <mergeCells count="68">
    <mergeCell ref="B20:C20"/>
    <mergeCell ref="B1:L1"/>
    <mergeCell ref="H4:L4"/>
    <mergeCell ref="H5:L5"/>
    <mergeCell ref="B7:L7"/>
    <mergeCell ref="B9:C9"/>
    <mergeCell ref="B10:C10"/>
    <mergeCell ref="B12:L12"/>
    <mergeCell ref="B14:C14"/>
    <mergeCell ref="B15:C15"/>
    <mergeCell ref="B17:L17"/>
    <mergeCell ref="B19:C19"/>
    <mergeCell ref="D80:E80"/>
    <mergeCell ref="I80:J80"/>
    <mergeCell ref="B22:L22"/>
    <mergeCell ref="G37:H37"/>
    <mergeCell ref="I37:J37"/>
    <mergeCell ref="G38:H38"/>
    <mergeCell ref="I38:J38"/>
    <mergeCell ref="K38:K39"/>
    <mergeCell ref="G39:H39"/>
    <mergeCell ref="I39:J39"/>
    <mergeCell ref="I40:J40"/>
    <mergeCell ref="I49:J49"/>
    <mergeCell ref="B74:L74"/>
    <mergeCell ref="D79:E79"/>
    <mergeCell ref="I79:J79"/>
    <mergeCell ref="D81:E81"/>
    <mergeCell ref="I81:J81"/>
    <mergeCell ref="D82:E82"/>
    <mergeCell ref="I82:J82"/>
    <mergeCell ref="D83:E83"/>
    <mergeCell ref="I83:J83"/>
    <mergeCell ref="D84:E84"/>
    <mergeCell ref="I84:J84"/>
    <mergeCell ref="D85:E85"/>
    <mergeCell ref="I85:J85"/>
    <mergeCell ref="D86:E86"/>
    <mergeCell ref="I86:J86"/>
    <mergeCell ref="D87:E87"/>
    <mergeCell ref="I87:J87"/>
    <mergeCell ref="D88:E88"/>
    <mergeCell ref="I88:J88"/>
    <mergeCell ref="D89:E89"/>
    <mergeCell ref="I89:J89"/>
    <mergeCell ref="D90:E90"/>
    <mergeCell ref="I90:J90"/>
    <mergeCell ref="D91:E91"/>
    <mergeCell ref="I91:J91"/>
    <mergeCell ref="D92:E92"/>
    <mergeCell ref="I92:J92"/>
    <mergeCell ref="D93:E93"/>
    <mergeCell ref="I93:J93"/>
    <mergeCell ref="D94:E94"/>
    <mergeCell ref="I94:J94"/>
    <mergeCell ref="D95:E95"/>
    <mergeCell ref="I95:J95"/>
    <mergeCell ref="D96:E96"/>
    <mergeCell ref="I96:J96"/>
    <mergeCell ref="D97:E97"/>
    <mergeCell ref="I97:J97"/>
    <mergeCell ref="D98:E98"/>
    <mergeCell ref="I98:J98"/>
    <mergeCell ref="D99:E99"/>
    <mergeCell ref="I99:J99"/>
    <mergeCell ref="B100:C100"/>
    <mergeCell ref="F100:G100"/>
    <mergeCell ref="I100:J100"/>
  </mergeCells>
  <pageMargins left="0.23622047244094491" right="0.23622047244094491" top="0.74803149606299213" bottom="0.74803149606299213" header="0.31496062992125984" footer="0.31496062992125984"/>
  <pageSetup paperSize="9" scale="64"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80" zoomScaleNormal="80" zoomScaleSheetLayoutView="80" workbookViewId="0">
      <selection activeCell="Q22" sqref="Q22"/>
    </sheetView>
  </sheetViews>
  <sheetFormatPr defaultRowHeight="13.2"/>
  <cols>
    <col min="1" max="1" width="8.88671875" style="1256"/>
    <col min="2" max="2" width="45.44140625" style="1256" customWidth="1"/>
    <col min="3" max="5" width="8.88671875" style="1256"/>
    <col min="6" max="6" width="17.5546875" style="1256" customWidth="1"/>
    <col min="7" max="16384" width="8.88671875" style="1256"/>
  </cols>
  <sheetData>
    <row r="1" spans="1:6">
      <c r="A1" s="2027" t="str">
        <f>+'4200'!A1</f>
        <v>GREATER LETABA MUNICIPALITY</v>
      </c>
    </row>
    <row r="2" spans="1:6">
      <c r="A2" s="2204" t="str">
        <f>+'4200'!A2:B2</f>
        <v>CONTRACT NUMBER: GLM015/2025</v>
      </c>
      <c r="B2" s="2220"/>
    </row>
    <row r="3" spans="1:6">
      <c r="A3" s="1663" t="s">
        <v>1439</v>
      </c>
    </row>
    <row r="4" spans="1:6">
      <c r="A4" s="1666" t="s">
        <v>1642</v>
      </c>
    </row>
    <row r="5" spans="1:6" ht="13.8">
      <c r="A5" s="1788" t="s">
        <v>0</v>
      </c>
      <c r="B5" s="1789" t="s">
        <v>2</v>
      </c>
      <c r="C5" s="1790" t="s">
        <v>3</v>
      </c>
      <c r="D5" s="1791" t="s">
        <v>1466</v>
      </c>
      <c r="E5" s="1792" t="s">
        <v>5</v>
      </c>
      <c r="F5" s="1792" t="s">
        <v>6</v>
      </c>
    </row>
    <row r="6" spans="1:6" ht="13.8">
      <c r="A6" s="1793"/>
      <c r="B6" s="1794"/>
      <c r="C6" s="1795"/>
      <c r="D6" s="1796"/>
      <c r="E6" s="1797"/>
      <c r="F6" s="1798"/>
    </row>
    <row r="7" spans="1:6">
      <c r="A7" s="1799">
        <v>5100</v>
      </c>
      <c r="B7" s="1800" t="s">
        <v>1643</v>
      </c>
      <c r="C7" s="1477"/>
      <c r="D7" s="1801"/>
      <c r="E7" s="1802"/>
      <c r="F7" s="1803"/>
    </row>
    <row r="8" spans="1:6">
      <c r="A8" s="1804"/>
      <c r="B8" s="1800" t="s">
        <v>1644</v>
      </c>
      <c r="C8" s="1483"/>
      <c r="D8" s="1801"/>
      <c r="E8" s="1802"/>
      <c r="F8" s="1803"/>
    </row>
    <row r="9" spans="1:6">
      <c r="A9" s="1497"/>
      <c r="B9" s="1805"/>
      <c r="C9" s="1477"/>
      <c r="D9" s="1805"/>
      <c r="E9" s="1802"/>
      <c r="F9" s="1803"/>
    </row>
    <row r="10" spans="1:6">
      <c r="A10" s="1806" t="s">
        <v>1645</v>
      </c>
      <c r="B10" s="1807" t="s">
        <v>1646</v>
      </c>
      <c r="C10" s="1808"/>
      <c r="D10" s="1809"/>
      <c r="E10" s="1802"/>
      <c r="F10" s="1803"/>
    </row>
    <row r="11" spans="1:6">
      <c r="A11" s="1806" t="s">
        <v>1647</v>
      </c>
      <c r="B11" s="1804" t="s">
        <v>1648</v>
      </c>
      <c r="C11" s="1550" t="s">
        <v>877</v>
      </c>
      <c r="D11" s="1809">
        <f>1500*1.5</f>
        <v>2250</v>
      </c>
      <c r="E11" s="1810"/>
      <c r="F11" s="1803"/>
    </row>
    <row r="12" spans="1:6">
      <c r="A12" s="1806">
        <v>51.03</v>
      </c>
      <c r="B12" s="1811" t="s">
        <v>1646</v>
      </c>
      <c r="C12" s="1808"/>
      <c r="D12" s="1809"/>
      <c r="E12" s="1515"/>
      <c r="F12" s="1803"/>
    </row>
    <row r="13" spans="1:6" ht="15.6">
      <c r="A13" s="1806" t="s">
        <v>1195</v>
      </c>
      <c r="B13" s="1811" t="s">
        <v>1649</v>
      </c>
      <c r="C13" s="1808" t="s">
        <v>1650</v>
      </c>
      <c r="D13" s="1812">
        <v>1</v>
      </c>
      <c r="E13" s="1515"/>
      <c r="F13" s="1803"/>
    </row>
    <row r="14" spans="1:6">
      <c r="A14" s="1806"/>
      <c r="B14" s="1811"/>
      <c r="C14" s="1808"/>
      <c r="D14" s="1809"/>
      <c r="E14" s="1515"/>
      <c r="F14" s="1803"/>
    </row>
    <row r="15" spans="1:6" ht="26.4">
      <c r="A15" s="1806" t="s">
        <v>1651</v>
      </c>
      <c r="B15" s="1807" t="s">
        <v>1652</v>
      </c>
      <c r="C15" s="1808" t="s">
        <v>136</v>
      </c>
      <c r="D15" s="1809">
        <v>50</v>
      </c>
      <c r="E15" s="1813"/>
      <c r="F15" s="1814"/>
    </row>
    <row r="16" spans="1:6">
      <c r="A16" s="1806"/>
      <c r="B16" s="1811"/>
      <c r="C16" s="1808"/>
      <c r="D16" s="1809"/>
      <c r="E16" s="1515"/>
      <c r="F16" s="1803"/>
    </row>
    <row r="17" spans="1:6">
      <c r="A17" s="1806" t="s">
        <v>1653</v>
      </c>
      <c r="B17" s="1807" t="s">
        <v>1654</v>
      </c>
      <c r="C17" s="1808"/>
      <c r="D17" s="1809"/>
      <c r="E17" s="1515"/>
      <c r="F17" s="1803"/>
    </row>
    <row r="18" spans="1:6">
      <c r="A18" s="1806"/>
      <c r="B18" s="1815"/>
      <c r="C18" s="1808"/>
      <c r="D18" s="1809"/>
      <c r="E18" s="1515"/>
      <c r="F18" s="1803"/>
    </row>
    <row r="19" spans="1:6" ht="15.6">
      <c r="A19" s="1816" t="s">
        <v>1195</v>
      </c>
      <c r="B19" s="1817" t="s">
        <v>1655</v>
      </c>
      <c r="C19" s="1818" t="s">
        <v>1650</v>
      </c>
      <c r="D19" s="1819">
        <f>(D11*0.1)+D15*0.3*0.3</f>
        <v>229.5</v>
      </c>
      <c r="E19" s="1820"/>
      <c r="F19" s="1803"/>
    </row>
    <row r="20" spans="1:6">
      <c r="A20" s="2228" t="str">
        <f>+'[25]5200'!A41:D41</f>
        <v>TOTAL CARRIED TO SUMMARY</v>
      </c>
      <c r="B20" s="2229"/>
      <c r="C20" s="2229"/>
      <c r="D20" s="2229"/>
      <c r="E20" s="2230"/>
      <c r="F20" s="1821"/>
    </row>
    <row r="21" spans="1:6">
      <c r="A21" s="1412"/>
      <c r="B21" s="1412"/>
      <c r="C21" s="1460"/>
      <c r="D21" s="1412"/>
      <c r="E21" s="1412"/>
    </row>
    <row r="22" spans="1:6">
      <c r="A22" s="1412"/>
      <c r="B22" s="1412"/>
      <c r="C22" s="1412"/>
      <c r="D22" s="1412"/>
      <c r="E22" s="1412"/>
    </row>
    <row r="23" spans="1:6">
      <c r="A23" s="1412"/>
      <c r="B23" s="1412"/>
      <c r="C23" s="1412"/>
      <c r="D23" s="1412"/>
      <c r="E23" s="1412"/>
    </row>
    <row r="24" spans="1:6">
      <c r="A24" s="1412"/>
      <c r="B24" s="1412"/>
      <c r="C24" s="1412"/>
      <c r="D24" s="1412"/>
      <c r="E24" s="1412"/>
    </row>
    <row r="25" spans="1:6">
      <c r="A25" s="1412"/>
      <c r="B25" s="1412"/>
      <c r="C25" s="1412"/>
      <c r="D25" s="1412"/>
      <c r="E25" s="1412"/>
    </row>
    <row r="26" spans="1:6">
      <c r="A26" s="1412"/>
      <c r="B26" s="1412"/>
      <c r="C26" s="1412"/>
      <c r="D26" s="1412"/>
      <c r="E26" s="1412"/>
    </row>
    <row r="27" spans="1:6">
      <c r="A27" s="1412"/>
      <c r="B27" s="1412"/>
      <c r="C27" s="1412"/>
      <c r="D27" s="1412"/>
      <c r="E27" s="1412"/>
    </row>
    <row r="28" spans="1:6">
      <c r="A28" s="1412"/>
      <c r="B28" s="1412"/>
      <c r="C28" s="1412"/>
      <c r="D28" s="1412"/>
      <c r="E28" s="1412"/>
    </row>
    <row r="29" spans="1:6">
      <c r="A29" s="1412"/>
      <c r="B29" s="1412"/>
      <c r="C29" s="1412"/>
      <c r="D29" s="1412"/>
      <c r="E29" s="1412"/>
    </row>
    <row r="30" spans="1:6">
      <c r="A30" s="1412"/>
      <c r="B30" s="1412"/>
      <c r="C30" s="1412"/>
      <c r="D30" s="1412"/>
      <c r="E30" s="1412"/>
    </row>
    <row r="31" spans="1:6">
      <c r="A31" s="1412"/>
      <c r="B31" s="1412"/>
      <c r="C31" s="1412"/>
      <c r="D31" s="1412"/>
      <c r="E31" s="1412"/>
    </row>
    <row r="32" spans="1:6">
      <c r="A32" s="1412"/>
      <c r="B32" s="1412"/>
      <c r="C32" s="1412"/>
      <c r="D32" s="1412"/>
      <c r="E32" s="1412"/>
    </row>
    <row r="33" spans="1:5">
      <c r="A33" s="1412"/>
      <c r="B33" s="1412"/>
      <c r="C33" s="1412"/>
      <c r="D33" s="1412"/>
      <c r="E33" s="1412"/>
    </row>
    <row r="34" spans="1:5">
      <c r="A34" s="1412"/>
      <c r="B34" s="1412"/>
      <c r="C34" s="1412"/>
      <c r="D34" s="1412"/>
      <c r="E34" s="1412"/>
    </row>
    <row r="35" spans="1:5">
      <c r="A35" s="1412"/>
      <c r="B35" s="1412"/>
      <c r="C35" s="1412"/>
      <c r="D35" s="1412"/>
      <c r="E35" s="1412"/>
    </row>
    <row r="36" spans="1:5">
      <c r="A36" s="1412"/>
      <c r="B36" s="1412"/>
      <c r="C36" s="1412"/>
      <c r="D36" s="1412"/>
      <c r="E36" s="1412"/>
    </row>
    <row r="37" spans="1:5">
      <c r="A37" s="1412"/>
      <c r="B37" s="1412"/>
      <c r="C37" s="1412"/>
      <c r="D37" s="1412"/>
      <c r="E37" s="1412"/>
    </row>
    <row r="38" spans="1:5">
      <c r="A38" s="1412"/>
      <c r="B38" s="1412"/>
      <c r="C38" s="1412"/>
      <c r="D38" s="1412"/>
      <c r="E38" s="1412"/>
    </row>
    <row r="39" spans="1:5">
      <c r="A39" s="1412"/>
      <c r="B39" s="1412"/>
      <c r="C39" s="1412"/>
      <c r="D39" s="1412"/>
      <c r="E39" s="1412"/>
    </row>
    <row r="40" spans="1:5">
      <c r="A40" s="1412"/>
      <c r="B40" s="1412"/>
      <c r="C40" s="1412"/>
      <c r="D40" s="1412"/>
      <c r="E40" s="1412"/>
    </row>
    <row r="41" spans="1:5">
      <c r="A41" s="1412"/>
      <c r="B41" s="1412"/>
      <c r="C41" s="1412"/>
      <c r="D41" s="1412"/>
      <c r="E41" s="1412"/>
    </row>
    <row r="42" spans="1:5">
      <c r="A42" s="1412"/>
      <c r="B42" s="1412"/>
      <c r="C42" s="1412"/>
      <c r="D42" s="1412"/>
      <c r="E42" s="1412"/>
    </row>
    <row r="43" spans="1:5">
      <c r="A43" s="1412"/>
      <c r="B43" s="1412"/>
      <c r="C43" s="1412"/>
      <c r="D43" s="1412"/>
      <c r="E43" s="1412"/>
    </row>
    <row r="44" spans="1:5">
      <c r="A44" s="1412"/>
      <c r="B44" s="1412"/>
      <c r="C44" s="1412"/>
      <c r="D44" s="1412"/>
      <c r="E44" s="1412"/>
    </row>
  </sheetData>
  <mergeCells count="2">
    <mergeCell ref="A20:E20"/>
    <mergeCell ref="A2:B2"/>
  </mergeCells>
  <pageMargins left="0.70866141732283472" right="0.70866141732283472" top="0.74803149606299213" bottom="0.74803149606299213" header="0.31496062992125984" footer="0.31496062992125984"/>
  <pageSetup paperSize="9" scale="88" orientation="portrait" r:id="rId1"/>
  <headerFooter>
    <oddHeader>&amp;CC80.27</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view="pageBreakPreview" topLeftCell="A17" zoomScale="130" zoomScaleNormal="100" zoomScaleSheetLayoutView="130" workbookViewId="0">
      <selection activeCell="F18" sqref="F18"/>
    </sheetView>
  </sheetViews>
  <sheetFormatPr defaultRowHeight="13.2"/>
  <cols>
    <col min="1" max="1" width="8.88671875" style="1256"/>
    <col min="2" max="2" width="52.44140625" style="1256" customWidth="1"/>
    <col min="3" max="3" width="8.88671875" style="1256"/>
    <col min="4" max="4" width="9.21875" style="1256" bestFit="1" customWidth="1"/>
    <col min="5" max="5" width="9" style="1256" bestFit="1" customWidth="1"/>
    <col min="6" max="6" width="16.21875" style="1822" customWidth="1"/>
    <col min="7" max="16384" width="8.88671875" style="1256"/>
  </cols>
  <sheetData>
    <row r="1" spans="1:6">
      <c r="A1" s="2027" t="str">
        <f>+'5100'!A1</f>
        <v>GREATER LETABA MUNICIPALITY</v>
      </c>
    </row>
    <row r="2" spans="1:6">
      <c r="A2" s="2204" t="str">
        <f>+'5100'!A2:B2</f>
        <v>CONTRACT NUMBER: GLM015/2025</v>
      </c>
      <c r="B2" s="2220"/>
    </row>
    <row r="3" spans="1:6">
      <c r="A3" s="1663" t="s">
        <v>1439</v>
      </c>
    </row>
    <row r="4" spans="1:6">
      <c r="A4" s="1666" t="s">
        <v>1656</v>
      </c>
    </row>
    <row r="5" spans="1:6">
      <c r="A5" s="2033" t="s">
        <v>1657</v>
      </c>
    </row>
    <row r="6" spans="1:6" ht="13.8">
      <c r="A6" s="1793" t="s">
        <v>0</v>
      </c>
      <c r="B6" s="1794" t="s">
        <v>2</v>
      </c>
      <c r="C6" s="1795" t="s">
        <v>3</v>
      </c>
      <c r="D6" s="1796" t="s">
        <v>1466</v>
      </c>
      <c r="E6" s="1823" t="s">
        <v>5</v>
      </c>
      <c r="F6" s="1824" t="s">
        <v>6</v>
      </c>
    </row>
    <row r="7" spans="1:6" ht="13.8">
      <c r="A7" s="1793"/>
      <c r="B7" s="1794"/>
      <c r="C7" s="1795"/>
      <c r="D7" s="1796"/>
      <c r="E7" s="1797"/>
      <c r="F7" s="1825"/>
    </row>
    <row r="8" spans="1:6">
      <c r="A8" s="1804">
        <v>5200</v>
      </c>
      <c r="B8" s="1826" t="s">
        <v>1657</v>
      </c>
      <c r="C8" s="1477"/>
      <c r="D8" s="1801"/>
      <c r="E8" s="1827"/>
      <c r="F8" s="1828"/>
    </row>
    <row r="9" spans="1:6">
      <c r="A9" s="1829"/>
      <c r="B9" s="1805"/>
      <c r="C9" s="1483"/>
      <c r="D9" s="1801"/>
      <c r="E9" s="1827"/>
      <c r="F9" s="1828"/>
    </row>
    <row r="10" spans="1:6">
      <c r="A10" s="1804">
        <v>52.01</v>
      </c>
      <c r="B10" s="1805" t="s">
        <v>1658</v>
      </c>
      <c r="C10" s="1483" t="s">
        <v>9</v>
      </c>
      <c r="D10" s="1801" t="s">
        <v>9</v>
      </c>
      <c r="E10" s="1827"/>
      <c r="F10" s="1828"/>
    </row>
    <row r="11" spans="1:6">
      <c r="A11" s="1829"/>
      <c r="B11" s="1805"/>
      <c r="C11" s="1483"/>
      <c r="D11" s="1801"/>
      <c r="E11" s="1827"/>
      <c r="F11" s="1828"/>
    </row>
    <row r="12" spans="1:6">
      <c r="A12" s="1804" t="s">
        <v>1647</v>
      </c>
      <c r="B12" s="1805" t="s">
        <v>1655</v>
      </c>
      <c r="C12" s="1483" t="s">
        <v>60</v>
      </c>
      <c r="D12" s="1830">
        <f>(0.5*3*3*2)*3</f>
        <v>27</v>
      </c>
      <c r="E12" s="1827"/>
      <c r="F12" s="1828"/>
    </row>
    <row r="13" spans="1:6">
      <c r="A13" s="1829"/>
      <c r="B13" s="1805"/>
      <c r="C13" s="1483"/>
      <c r="D13" s="1831"/>
      <c r="E13" s="1827"/>
      <c r="F13" s="1828"/>
    </row>
    <row r="14" spans="1:6">
      <c r="A14" s="1804">
        <v>52.02</v>
      </c>
      <c r="B14" s="1805" t="s">
        <v>1659</v>
      </c>
      <c r="C14" s="1483" t="s">
        <v>877</v>
      </c>
      <c r="D14" s="1830">
        <f>3*3*3</f>
        <v>27</v>
      </c>
      <c r="E14" s="1827"/>
      <c r="F14" s="1828"/>
    </row>
    <row r="15" spans="1:6">
      <c r="A15" s="1804"/>
      <c r="B15" s="1805"/>
      <c r="C15" s="1483"/>
      <c r="D15" s="1831"/>
      <c r="E15" s="1827"/>
      <c r="F15" s="1828"/>
    </row>
    <row r="16" spans="1:6">
      <c r="A16" s="1804">
        <v>52.03</v>
      </c>
      <c r="B16" s="1805" t="s">
        <v>1660</v>
      </c>
      <c r="C16" s="1483"/>
      <c r="D16" s="1831"/>
      <c r="E16" s="1827"/>
      <c r="F16" s="1828"/>
    </row>
    <row r="17" spans="1:6">
      <c r="A17" s="1483" t="s">
        <v>1015</v>
      </c>
      <c r="B17" s="1805"/>
      <c r="C17" s="1483"/>
      <c r="D17" s="1831"/>
      <c r="E17" s="1827"/>
      <c r="F17" s="1828"/>
    </row>
    <row r="18" spans="1:6">
      <c r="A18" s="1483" t="s">
        <v>1180</v>
      </c>
      <c r="B18" s="1805" t="s">
        <v>1661</v>
      </c>
      <c r="C18" s="1483"/>
      <c r="D18" s="1831"/>
      <c r="E18" s="1827"/>
      <c r="F18" s="1828"/>
    </row>
    <row r="19" spans="1:6">
      <c r="A19" s="1483"/>
      <c r="B19" s="1805" t="s">
        <v>1662</v>
      </c>
      <c r="C19" s="1483"/>
      <c r="D19" s="1831"/>
      <c r="E19" s="1827"/>
      <c r="F19" s="1828"/>
    </row>
    <row r="20" spans="1:6">
      <c r="A20" s="1483"/>
      <c r="B20" s="1805" t="s">
        <v>1663</v>
      </c>
      <c r="C20" s="1483"/>
      <c r="D20" s="1831"/>
      <c r="E20" s="1827"/>
      <c r="F20" s="1828"/>
    </row>
    <row r="21" spans="1:6">
      <c r="A21" s="1483"/>
      <c r="B21" s="1805" t="s">
        <v>1664</v>
      </c>
      <c r="C21" s="1483"/>
      <c r="D21" s="1831"/>
      <c r="E21" s="1827"/>
      <c r="F21" s="1828"/>
    </row>
    <row r="22" spans="1:6">
      <c r="A22" s="1483"/>
      <c r="B22" s="1805"/>
      <c r="C22" s="1483"/>
      <c r="D22" s="1831"/>
      <c r="E22" s="1827"/>
      <c r="F22" s="1828"/>
    </row>
    <row r="23" spans="1:6">
      <c r="A23" s="1483" t="s">
        <v>1472</v>
      </c>
      <c r="B23" s="1805" t="s">
        <v>1665</v>
      </c>
      <c r="C23" s="1483" t="s">
        <v>60</v>
      </c>
      <c r="D23" s="1830">
        <f>(30*3*1*2)*3</f>
        <v>540</v>
      </c>
      <c r="E23" s="1827"/>
      <c r="F23" s="1828"/>
    </row>
    <row r="24" spans="1:6">
      <c r="A24" s="1483"/>
      <c r="B24" s="1805" t="s">
        <v>9</v>
      </c>
      <c r="C24" s="1483"/>
      <c r="D24" s="1831"/>
      <c r="E24" s="1827"/>
      <c r="F24" s="1828"/>
    </row>
    <row r="25" spans="1:6">
      <c r="A25" s="1483" t="s">
        <v>1474</v>
      </c>
      <c r="B25" s="1805" t="s">
        <v>1666</v>
      </c>
      <c r="C25" s="1483" t="s">
        <v>60</v>
      </c>
      <c r="D25" s="1830">
        <f>(30*3*1*2)*3</f>
        <v>540</v>
      </c>
      <c r="E25" s="1827"/>
      <c r="F25" s="1828"/>
    </row>
    <row r="26" spans="1:6">
      <c r="A26" s="1483"/>
      <c r="B26" s="1805"/>
      <c r="C26" s="1483"/>
      <c r="D26" s="1831"/>
      <c r="E26" s="1827"/>
      <c r="F26" s="1828"/>
    </row>
    <row r="27" spans="1:6">
      <c r="A27" s="1483" t="s">
        <v>1667</v>
      </c>
      <c r="B27" s="1805" t="s">
        <v>1668</v>
      </c>
      <c r="C27" s="1483" t="s">
        <v>60</v>
      </c>
      <c r="D27" s="1830">
        <v>50</v>
      </c>
      <c r="E27" s="1827"/>
      <c r="F27" s="1828"/>
    </row>
    <row r="28" spans="1:6">
      <c r="A28" s="1483"/>
      <c r="B28" s="1805"/>
      <c r="C28" s="1483"/>
      <c r="D28" s="1831"/>
      <c r="E28" s="1827"/>
      <c r="F28" s="1828"/>
    </row>
    <row r="29" spans="1:6">
      <c r="A29" s="1483" t="s">
        <v>1015</v>
      </c>
      <c r="B29" s="1805"/>
      <c r="C29" s="1483"/>
      <c r="D29" s="1831"/>
      <c r="E29" s="1827"/>
      <c r="F29" s="1828"/>
    </row>
    <row r="30" spans="1:6">
      <c r="A30" s="1483">
        <v>52.04</v>
      </c>
      <c r="B30" s="1805" t="s">
        <v>1669</v>
      </c>
      <c r="C30" s="1483" t="s">
        <v>877</v>
      </c>
      <c r="D30" s="1830">
        <f>150*3*3*3</f>
        <v>4050</v>
      </c>
      <c r="E30" s="1827"/>
      <c r="F30" s="1828"/>
    </row>
    <row r="31" spans="1:6">
      <c r="A31" s="1483"/>
      <c r="B31" s="1805"/>
      <c r="C31" s="1483"/>
      <c r="D31" s="1801"/>
      <c r="E31" s="1827"/>
      <c r="F31" s="1828"/>
    </row>
    <row r="32" spans="1:6">
      <c r="A32" s="1483"/>
      <c r="B32" s="1832"/>
      <c r="C32" s="1483"/>
      <c r="D32" s="1801"/>
      <c r="E32" s="1827"/>
      <c r="F32" s="1828"/>
    </row>
    <row r="33" spans="1:6">
      <c r="A33" s="1483"/>
      <c r="B33" s="1832"/>
      <c r="C33" s="1483"/>
      <c r="D33" s="1801"/>
      <c r="E33" s="1827"/>
      <c r="F33" s="1828"/>
    </row>
    <row r="34" spans="1:6">
      <c r="A34" s="1483"/>
      <c r="B34" s="1832"/>
      <c r="C34" s="1483"/>
      <c r="D34" s="1801"/>
      <c r="E34" s="1827"/>
      <c r="F34" s="1828"/>
    </row>
    <row r="35" spans="1:6">
      <c r="A35" s="1483"/>
      <c r="B35" s="1832"/>
      <c r="C35" s="1483"/>
      <c r="D35" s="1801"/>
      <c r="E35" s="1827"/>
      <c r="F35" s="1828"/>
    </row>
    <row r="36" spans="1:6">
      <c r="A36" s="1483"/>
      <c r="B36" s="1832"/>
      <c r="C36" s="1483"/>
      <c r="D36" s="1801"/>
      <c r="E36" s="1827"/>
      <c r="F36" s="1828"/>
    </row>
    <row r="37" spans="1:6">
      <c r="A37" s="1483"/>
      <c r="B37" s="1832"/>
      <c r="C37" s="1827"/>
      <c r="D37" s="1801"/>
      <c r="E37" s="1827"/>
      <c r="F37" s="1828"/>
    </row>
    <row r="38" spans="1:6">
      <c r="A38" s="1804"/>
      <c r="B38" s="1832"/>
      <c r="C38" s="1827"/>
      <c r="D38" s="1801"/>
      <c r="E38" s="1827"/>
      <c r="F38" s="1828"/>
    </row>
    <row r="39" spans="1:6" ht="13.8">
      <c r="A39" s="1833"/>
      <c r="B39" s="1832"/>
      <c r="C39" s="1827"/>
      <c r="D39" s="1834"/>
      <c r="E39" s="1827"/>
      <c r="F39" s="1828"/>
    </row>
    <row r="40" spans="1:6" ht="13.8">
      <c r="A40" s="1835"/>
      <c r="B40" s="1836"/>
      <c r="C40" s="1837"/>
      <c r="D40" s="1838"/>
      <c r="E40" s="1837"/>
      <c r="F40" s="1828"/>
    </row>
    <row r="41" spans="1:6" ht="13.8">
      <c r="A41" s="2231" t="s">
        <v>139</v>
      </c>
      <c r="B41" s="2232"/>
      <c r="C41" s="2232"/>
      <c r="D41" s="2233"/>
      <c r="E41" s="1257"/>
      <c r="F41" s="1839"/>
    </row>
    <row r="42" spans="1:6">
      <c r="C42" s="1460">
        <v>17</v>
      </c>
    </row>
  </sheetData>
  <mergeCells count="2">
    <mergeCell ref="A41:D41"/>
    <mergeCell ref="A2:B2"/>
  </mergeCells>
  <pageMargins left="0.70866141732283472" right="0.70866141732283472" top="0.74803149606299213" bottom="0.74803149606299213" header="0.31496062992125984" footer="0.31496062992125984"/>
  <pageSetup paperSize="9" scale="83" orientation="portrait" r:id="rId1"/>
  <headerFooter>
    <oddHeader>&amp;CC80.28</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view="pageBreakPreview" topLeftCell="A19" zoomScale="110" zoomScaleNormal="100" zoomScaleSheetLayoutView="110" workbookViewId="0">
      <selection activeCell="E14" sqref="E14"/>
    </sheetView>
  </sheetViews>
  <sheetFormatPr defaultRowHeight="13.2"/>
  <cols>
    <col min="1" max="1" width="8.88671875" style="1256"/>
    <col min="2" max="2" width="44.33203125" style="1256" customWidth="1"/>
    <col min="3" max="3" width="12.21875" style="1256" customWidth="1"/>
    <col min="4" max="5" width="8.88671875" style="1256"/>
    <col min="6" max="6" width="16.109375" style="1822" customWidth="1"/>
    <col min="7" max="16384" width="8.88671875" style="1256"/>
  </cols>
  <sheetData>
    <row r="1" spans="1:6">
      <c r="A1" s="2028" t="str">
        <f>+'5200'!A1</f>
        <v>GREATER LETABA MUNICIPALITY</v>
      </c>
    </row>
    <row r="2" spans="1:6">
      <c r="A2" s="2035" t="str">
        <f>+'5200'!A2:B2</f>
        <v>CONTRACT NUMBER: GLM015/2025</v>
      </c>
    </row>
    <row r="3" spans="1:6">
      <c r="A3" s="1502" t="s">
        <v>1439</v>
      </c>
    </row>
    <row r="4" spans="1:6">
      <c r="A4" s="1502" t="s">
        <v>1670</v>
      </c>
    </row>
    <row r="5" spans="1:6">
      <c r="A5" s="2034" t="s">
        <v>1672</v>
      </c>
    </row>
    <row r="6" spans="1:6" ht="13.8">
      <c r="A6" s="1788" t="s">
        <v>0</v>
      </c>
      <c r="B6" s="1789" t="s">
        <v>2</v>
      </c>
      <c r="C6" s="1790" t="s">
        <v>3</v>
      </c>
      <c r="D6" s="1791" t="s">
        <v>1466</v>
      </c>
      <c r="E6" s="1788" t="s">
        <v>1671</v>
      </c>
      <c r="F6" s="1840" t="s">
        <v>6</v>
      </c>
    </row>
    <row r="7" spans="1:6">
      <c r="A7" s="1797"/>
      <c r="B7" s="1797"/>
      <c r="C7" s="2319"/>
      <c r="D7" s="1797"/>
      <c r="E7" s="2319"/>
      <c r="F7" s="1798"/>
    </row>
    <row r="8" spans="1:6">
      <c r="A8" s="1841">
        <v>5400</v>
      </c>
      <c r="B8" s="1842" t="s">
        <v>1672</v>
      </c>
      <c r="C8" s="1832"/>
      <c r="D8" s="1827"/>
      <c r="E8" s="1832"/>
      <c r="F8" s="1803"/>
    </row>
    <row r="9" spans="1:6">
      <c r="A9" s="1483"/>
      <c r="B9" s="1477"/>
      <c r="C9" s="1832"/>
      <c r="D9" s="1827"/>
      <c r="E9" s="1832"/>
      <c r="F9" s="1803"/>
    </row>
    <row r="10" spans="1:6">
      <c r="A10" s="1843" t="s">
        <v>1673</v>
      </c>
      <c r="B10" s="1807" t="s">
        <v>1674</v>
      </c>
      <c r="C10" s="1832"/>
      <c r="D10" s="1827"/>
      <c r="E10" s="1832"/>
      <c r="F10" s="1803"/>
    </row>
    <row r="11" spans="1:6">
      <c r="A11" s="1843"/>
      <c r="B11" s="1811"/>
      <c r="C11" s="1832"/>
      <c r="D11" s="1483"/>
      <c r="E11" s="1827"/>
      <c r="F11" s="1803"/>
    </row>
    <row r="12" spans="1:6">
      <c r="A12" s="1843" t="s">
        <v>1675</v>
      </c>
      <c r="B12" s="1811" t="s">
        <v>1676</v>
      </c>
      <c r="C12" s="1808" t="s">
        <v>136</v>
      </c>
      <c r="D12" s="1483">
        <v>60</v>
      </c>
      <c r="E12" s="1827"/>
      <c r="F12" s="1803"/>
    </row>
    <row r="13" spans="1:6">
      <c r="A13" s="1843"/>
      <c r="B13" s="1811"/>
      <c r="C13" s="1808"/>
      <c r="D13" s="1483"/>
      <c r="E13" s="1827"/>
      <c r="F13" s="1803"/>
    </row>
    <row r="14" spans="1:6" ht="39.6">
      <c r="A14" s="1843" t="s">
        <v>1677</v>
      </c>
      <c r="B14" s="1807" t="s">
        <v>1678</v>
      </c>
      <c r="C14" s="1808" t="s">
        <v>136</v>
      </c>
      <c r="D14" s="1496">
        <v>10</v>
      </c>
      <c r="E14" s="1844"/>
      <c r="F14" s="1845"/>
    </row>
    <row r="15" spans="1:6">
      <c r="A15" s="1843"/>
      <c r="B15" s="1811"/>
      <c r="C15" s="1808"/>
      <c r="D15" s="1846"/>
      <c r="E15" s="1827"/>
      <c r="F15" s="1803"/>
    </row>
    <row r="16" spans="1:6">
      <c r="A16" s="1483">
        <v>54.04</v>
      </c>
      <c r="B16" s="1477" t="s">
        <v>1679</v>
      </c>
      <c r="C16" s="1847" t="s">
        <v>9</v>
      </c>
      <c r="D16" s="1801" t="s">
        <v>9</v>
      </c>
      <c r="E16" s="1827"/>
      <c r="F16" s="1803"/>
    </row>
    <row r="17" spans="1:6">
      <c r="A17" s="1483"/>
      <c r="B17" s="1477"/>
      <c r="C17" s="1847"/>
      <c r="D17" s="1801"/>
      <c r="E17" s="1827"/>
      <c r="F17" s="1803"/>
    </row>
    <row r="18" spans="1:6">
      <c r="A18" s="1483"/>
      <c r="B18" s="1477"/>
      <c r="C18" s="1847"/>
      <c r="D18" s="1801"/>
      <c r="E18" s="1827"/>
      <c r="F18" s="1803"/>
    </row>
    <row r="19" spans="1:6" ht="26.4">
      <c r="A19" s="1483"/>
      <c r="B19" s="1848" t="s">
        <v>1680</v>
      </c>
      <c r="C19" s="1847"/>
      <c r="D19" s="1801"/>
      <c r="E19" s="1827"/>
      <c r="F19" s="1803"/>
    </row>
    <row r="20" spans="1:6">
      <c r="A20" s="1483" t="s">
        <v>1180</v>
      </c>
      <c r="B20" s="1477" t="s">
        <v>1681</v>
      </c>
      <c r="C20" s="1496" t="s">
        <v>138</v>
      </c>
      <c r="D20" s="1801">
        <v>4</v>
      </c>
      <c r="E20" s="1827"/>
      <c r="F20" s="1803"/>
    </row>
    <row r="21" spans="1:6">
      <c r="A21" s="1483"/>
      <c r="B21" s="1811" t="s">
        <v>1682</v>
      </c>
      <c r="C21" s="1496" t="s">
        <v>138</v>
      </c>
      <c r="D21" s="2320">
        <v>4</v>
      </c>
      <c r="E21" s="1827"/>
      <c r="F21" s="1803"/>
    </row>
    <row r="22" spans="1:6">
      <c r="A22" s="1483" t="s">
        <v>1222</v>
      </c>
      <c r="B22" s="1477" t="s">
        <v>1683</v>
      </c>
      <c r="C22" s="1808"/>
      <c r="D22" s="1849"/>
      <c r="E22" s="1827"/>
      <c r="F22" s="1803"/>
    </row>
    <row r="23" spans="1:6">
      <c r="A23" s="1483"/>
      <c r="B23" s="1477" t="s">
        <v>1684</v>
      </c>
      <c r="C23" s="1808"/>
      <c r="D23" s="1849"/>
      <c r="E23" s="1827"/>
      <c r="F23" s="1803"/>
    </row>
    <row r="24" spans="1:6">
      <c r="A24" s="1483"/>
      <c r="B24" s="1477" t="s">
        <v>1685</v>
      </c>
      <c r="C24" s="1808" t="s">
        <v>138</v>
      </c>
      <c r="D24" s="1849">
        <v>2</v>
      </c>
      <c r="E24" s="1827"/>
      <c r="F24" s="1803"/>
    </row>
    <row r="25" spans="1:6" ht="26.4">
      <c r="A25" s="1483"/>
      <c r="B25" s="1811" t="s">
        <v>1686</v>
      </c>
      <c r="C25" s="1808" t="s">
        <v>138</v>
      </c>
      <c r="D25" s="1849">
        <v>2</v>
      </c>
      <c r="E25" s="1827"/>
      <c r="F25" s="1803"/>
    </row>
    <row r="26" spans="1:6">
      <c r="A26" s="1483">
        <v>54.05</v>
      </c>
      <c r="B26" s="1477" t="s">
        <v>1687</v>
      </c>
      <c r="C26" s="1808" t="s">
        <v>9</v>
      </c>
      <c r="D26" s="1849" t="s">
        <v>9</v>
      </c>
      <c r="E26" s="1827"/>
      <c r="F26" s="1803"/>
    </row>
    <row r="27" spans="1:6">
      <c r="A27" s="1483"/>
      <c r="B27" s="1477"/>
      <c r="C27" s="1808"/>
      <c r="D27" s="1849"/>
      <c r="E27" s="1827"/>
      <c r="F27" s="1803"/>
    </row>
    <row r="28" spans="1:6">
      <c r="A28" s="1483" t="s">
        <v>1180</v>
      </c>
      <c r="B28" s="1477" t="s">
        <v>1688</v>
      </c>
      <c r="C28" s="1808" t="s">
        <v>138</v>
      </c>
      <c r="D28" s="1849">
        <v>1</v>
      </c>
      <c r="E28" s="1827"/>
      <c r="F28" s="1803"/>
    </row>
    <row r="29" spans="1:6">
      <c r="A29" s="1483" t="s">
        <v>1015</v>
      </c>
      <c r="B29" s="1477"/>
      <c r="C29" s="1808"/>
      <c r="D29" s="1849"/>
      <c r="E29" s="1827"/>
      <c r="F29" s="1803"/>
    </row>
    <row r="30" spans="1:6">
      <c r="A30" s="1483">
        <v>54.06</v>
      </c>
      <c r="B30" s="1477" t="s">
        <v>1689</v>
      </c>
      <c r="C30" s="1808" t="s">
        <v>138</v>
      </c>
      <c r="D30" s="1849">
        <f>7*4</f>
        <v>28</v>
      </c>
      <c r="E30" s="1827"/>
      <c r="F30" s="1803"/>
    </row>
    <row r="31" spans="1:6">
      <c r="A31" s="1483"/>
      <c r="B31" s="1477" t="s">
        <v>9</v>
      </c>
      <c r="C31" s="1808" t="s">
        <v>9</v>
      </c>
      <c r="D31" s="1849" t="s">
        <v>9</v>
      </c>
      <c r="E31" s="1827"/>
      <c r="F31" s="1803"/>
    </row>
    <row r="32" spans="1:6">
      <c r="A32" s="1496"/>
      <c r="B32" s="1811"/>
      <c r="C32" s="1808"/>
      <c r="D32" s="1849"/>
      <c r="E32" s="1827"/>
      <c r="F32" s="1803"/>
    </row>
    <row r="33" spans="1:6">
      <c r="A33" s="1496"/>
      <c r="B33" s="1811"/>
      <c r="C33" s="1808"/>
      <c r="D33" s="1849"/>
      <c r="E33" s="1827"/>
      <c r="F33" s="1803"/>
    </row>
    <row r="34" spans="1:6">
      <c r="A34" s="1483"/>
      <c r="B34" s="1477"/>
      <c r="C34" s="1808"/>
      <c r="D34" s="1849"/>
      <c r="E34" s="1827"/>
      <c r="F34" s="1803"/>
    </row>
    <row r="35" spans="1:6">
      <c r="A35" s="1483"/>
      <c r="B35" s="1477"/>
      <c r="C35" s="1808"/>
      <c r="D35" s="1849"/>
      <c r="E35" s="1827"/>
      <c r="F35" s="1803"/>
    </row>
    <row r="36" spans="1:6">
      <c r="A36" s="1483"/>
      <c r="B36" s="1477"/>
      <c r="C36" s="1808"/>
      <c r="D36" s="1849"/>
      <c r="E36" s="1827"/>
      <c r="F36" s="1803"/>
    </row>
    <row r="37" spans="1:6">
      <c r="A37" s="1843"/>
      <c r="B37" s="1811"/>
      <c r="C37" s="1808"/>
      <c r="D37" s="1849"/>
      <c r="E37" s="1827"/>
      <c r="F37" s="1803"/>
    </row>
    <row r="38" spans="1:6" ht="13.8">
      <c r="A38" s="1850"/>
      <c r="B38" s="1851"/>
      <c r="C38" s="1852"/>
      <c r="D38" s="1851"/>
      <c r="E38" s="1852"/>
      <c r="F38" s="1853"/>
    </row>
    <row r="39" spans="1:6" ht="13.8">
      <c r="A39" s="338"/>
      <c r="B39" s="2231" t="s">
        <v>139</v>
      </c>
      <c r="C39" s="2232"/>
      <c r="D39" s="2232"/>
      <c r="E39" s="2233"/>
      <c r="F39" s="1824"/>
    </row>
    <row r="40" spans="1:6">
      <c r="C40" s="1460"/>
    </row>
  </sheetData>
  <mergeCells count="1">
    <mergeCell ref="B39:E39"/>
  </mergeCells>
  <pageMargins left="0.70866141732283472" right="0.70866141732283472" top="0.74803149606299213" bottom="0.74803149606299213" header="0.31496062992125984" footer="0.31496062992125984"/>
  <pageSetup paperSize="9" scale="85" orientation="portrait" r:id="rId1"/>
  <headerFooter>
    <oddHeader>&amp;CC80.29</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view="pageBreakPreview" zoomScaleNormal="100" zoomScaleSheetLayoutView="100" workbookViewId="0">
      <pane ySplit="7" topLeftCell="A47" activePane="bottomLeft" state="frozen"/>
      <selection activeCell="H47" sqref="H47"/>
      <selection pane="bottomLeft" activeCell="J61" sqref="J61"/>
    </sheetView>
  </sheetViews>
  <sheetFormatPr defaultRowHeight="13.2"/>
  <cols>
    <col min="1" max="1" width="7.6640625" style="1256" customWidth="1"/>
    <col min="2" max="2" width="50.33203125" style="1256" customWidth="1"/>
    <col min="3" max="3" width="8.109375" style="1256" customWidth="1"/>
    <col min="4" max="4" width="15.109375" style="1256" customWidth="1"/>
    <col min="5" max="5" width="11.6640625" style="1256" customWidth="1"/>
    <col min="6" max="6" width="12.88671875" style="1256" customWidth="1"/>
    <col min="7" max="16384" width="8.88671875" style="1256"/>
  </cols>
  <sheetData>
    <row r="1" spans="1:6" s="1912" customFormat="1" ht="15" customHeight="1">
      <c r="A1" s="1911" t="str">
        <f>+'5400'!A1</f>
        <v>GREATER LETABA MUNICIPALITY</v>
      </c>
      <c r="B1" s="1911"/>
      <c r="E1" s="1911" t="s">
        <v>1711</v>
      </c>
      <c r="F1" s="1911"/>
    </row>
    <row r="2" spans="1:6" s="1912" customFormat="1" ht="13.8" customHeight="1">
      <c r="A2" s="1911" t="str">
        <f>+'5400'!A2</f>
        <v>CONTRACT NUMBER: GLM015/2025</v>
      </c>
      <c r="B2" s="1911"/>
    </row>
    <row r="3" spans="1:6" s="1912" customFormat="1" ht="15" customHeight="1">
      <c r="A3" s="1911" t="s">
        <v>1439</v>
      </c>
      <c r="B3" s="1911"/>
    </row>
    <row r="4" spans="1:6" s="1912" customFormat="1" ht="15" customHeight="1">
      <c r="A4" s="1911" t="s">
        <v>1711</v>
      </c>
      <c r="B4" s="1911"/>
    </row>
    <row r="5" spans="1:6" s="1912" customFormat="1" ht="15" customHeight="1">
      <c r="A5" s="1911" t="s">
        <v>1712</v>
      </c>
      <c r="B5" s="1911"/>
    </row>
    <row r="6" spans="1:6" s="1912" customFormat="1" ht="5.0999999999999996" customHeight="1"/>
    <row r="7" spans="1:6" s="1912" customFormat="1" ht="15" customHeight="1">
      <c r="A7" s="1659" t="s">
        <v>0</v>
      </c>
      <c r="B7" s="1659" t="s">
        <v>2</v>
      </c>
      <c r="C7" s="1913" t="s">
        <v>3</v>
      </c>
      <c r="D7" s="1913" t="s">
        <v>4</v>
      </c>
      <c r="E7" s="1913" t="s">
        <v>5</v>
      </c>
      <c r="F7" s="1913" t="s">
        <v>6</v>
      </c>
    </row>
    <row r="8" spans="1:6" s="1912" customFormat="1">
      <c r="A8" s="1655"/>
      <c r="B8" s="1655"/>
      <c r="C8" s="1655"/>
      <c r="D8" s="1655"/>
      <c r="E8" s="1655"/>
      <c r="F8" s="1655"/>
    </row>
    <row r="9" spans="1:6" s="1912" customFormat="1">
      <c r="A9" s="1680">
        <v>56.01</v>
      </c>
      <c r="B9" s="1655" t="s">
        <v>1713</v>
      </c>
      <c r="C9" s="1655"/>
      <c r="D9" s="1655"/>
      <c r="E9" s="1655"/>
      <c r="F9" s="1655"/>
    </row>
    <row r="10" spans="1:6" s="1912" customFormat="1">
      <c r="A10" s="1680"/>
      <c r="B10" s="1655" t="s">
        <v>1714</v>
      </c>
      <c r="C10" s="1655"/>
      <c r="D10" s="1655"/>
      <c r="E10" s="1655"/>
      <c r="F10" s="1655"/>
    </row>
    <row r="11" spans="1:6" s="1912" customFormat="1">
      <c r="A11" s="1680"/>
      <c r="B11" s="1655" t="s">
        <v>1715</v>
      </c>
      <c r="C11" s="1655"/>
      <c r="D11" s="1655"/>
      <c r="E11" s="1655"/>
      <c r="F11" s="1655"/>
    </row>
    <row r="12" spans="1:6" s="1912" customFormat="1">
      <c r="A12" s="1680"/>
      <c r="B12" s="1655" t="s">
        <v>1716</v>
      </c>
      <c r="C12" s="1655"/>
      <c r="D12" s="1655"/>
      <c r="E12" s="1655"/>
      <c r="F12" s="1655"/>
    </row>
    <row r="13" spans="1:6" s="1912" customFormat="1">
      <c r="A13" s="1680"/>
      <c r="B13" s="1655" t="s">
        <v>1717</v>
      </c>
      <c r="C13" s="1655"/>
      <c r="D13" s="1655"/>
      <c r="E13" s="1655"/>
      <c r="F13" s="1655"/>
    </row>
    <row r="14" spans="1:6" s="1912" customFormat="1">
      <c r="A14" s="1680"/>
      <c r="B14" s="1655" t="s">
        <v>1718</v>
      </c>
      <c r="C14" s="1655"/>
      <c r="D14" s="1655"/>
      <c r="E14" s="1655"/>
      <c r="F14" s="1655"/>
    </row>
    <row r="15" spans="1:6" s="1912" customFormat="1">
      <c r="A15" s="1680"/>
      <c r="B15" s="1655"/>
      <c r="C15" s="1655"/>
      <c r="D15" s="1655"/>
      <c r="E15" s="1655"/>
      <c r="F15" s="1914"/>
    </row>
    <row r="16" spans="1:6" s="1912" customFormat="1">
      <c r="A16" s="1680"/>
      <c r="B16" s="1655" t="s">
        <v>1719</v>
      </c>
      <c r="C16" s="1655"/>
      <c r="D16" s="1655"/>
      <c r="E16" s="1914"/>
      <c r="F16" s="1914"/>
    </row>
    <row r="17" spans="1:6" s="1912" customFormat="1">
      <c r="A17" s="1680"/>
      <c r="B17" s="1655" t="s">
        <v>1720</v>
      </c>
      <c r="C17" s="1655"/>
      <c r="D17" s="1655"/>
      <c r="E17" s="1914"/>
      <c r="F17" s="1914"/>
    </row>
    <row r="18" spans="1:6" s="1912" customFormat="1">
      <c r="A18" s="1680"/>
      <c r="B18" s="1655" t="s">
        <v>1721</v>
      </c>
      <c r="C18" s="1655"/>
      <c r="D18" s="1655"/>
      <c r="E18" s="1914"/>
      <c r="F18" s="1914"/>
    </row>
    <row r="19" spans="1:6" s="1912" customFormat="1">
      <c r="A19" s="1680"/>
      <c r="B19" s="1655"/>
      <c r="C19" s="1655"/>
      <c r="D19" s="1655"/>
      <c r="E19" s="1914"/>
      <c r="F19" s="1914"/>
    </row>
    <row r="20" spans="1:6" s="1912" customFormat="1" ht="13.8">
      <c r="A20" s="1680" t="s">
        <v>1015</v>
      </c>
      <c r="B20" s="1655" t="s">
        <v>1722</v>
      </c>
      <c r="C20" s="1680" t="s">
        <v>1409</v>
      </c>
      <c r="D20" s="1680">
        <v>120</v>
      </c>
      <c r="E20" s="1915"/>
      <c r="F20" s="1916"/>
    </row>
    <row r="21" spans="1:6" s="1912" customFormat="1">
      <c r="A21" s="1680"/>
      <c r="B21" s="1655" t="s">
        <v>9</v>
      </c>
      <c r="C21" s="1680"/>
      <c r="D21" s="1680"/>
      <c r="E21" s="1915"/>
      <c r="F21" s="1917"/>
    </row>
    <row r="22" spans="1:6" s="1912" customFormat="1">
      <c r="A22" s="1680"/>
      <c r="B22" s="1655"/>
      <c r="C22" s="1680"/>
      <c r="D22" s="1680"/>
      <c r="E22" s="1915"/>
      <c r="F22" s="1917"/>
    </row>
    <row r="23" spans="1:6" s="1912" customFormat="1">
      <c r="A23" s="1680">
        <v>56.02</v>
      </c>
      <c r="B23" s="1655" t="s">
        <v>1723</v>
      </c>
      <c r="C23" s="1680"/>
      <c r="D23" s="1680"/>
      <c r="E23" s="1915"/>
      <c r="F23" s="1917"/>
    </row>
    <row r="24" spans="1:6" s="1912" customFormat="1">
      <c r="A24" s="1680"/>
      <c r="B24" s="1655" t="s">
        <v>1724</v>
      </c>
      <c r="C24" s="1680"/>
      <c r="D24" s="1680"/>
      <c r="E24" s="1915"/>
      <c r="F24" s="1917"/>
    </row>
    <row r="25" spans="1:6" s="1912" customFormat="1">
      <c r="A25" s="1680"/>
      <c r="B25" s="1655" t="s">
        <v>1725</v>
      </c>
      <c r="C25" s="1680"/>
      <c r="D25" s="1680"/>
      <c r="E25" s="1915"/>
      <c r="F25" s="1917"/>
    </row>
    <row r="26" spans="1:6" s="1912" customFormat="1" ht="13.8">
      <c r="A26" s="1680"/>
      <c r="B26" s="1655" t="s">
        <v>1726</v>
      </c>
      <c r="C26" s="1680" t="s">
        <v>1409</v>
      </c>
      <c r="D26" s="1680">
        <f>+D20</f>
        <v>120</v>
      </c>
      <c r="E26" s="1915"/>
      <c r="F26" s="1916"/>
    </row>
    <row r="27" spans="1:6" s="1912" customFormat="1">
      <c r="A27" s="1655"/>
      <c r="B27" s="1655"/>
      <c r="C27" s="1680"/>
      <c r="D27" s="1680"/>
      <c r="E27" s="1915"/>
      <c r="F27" s="1917"/>
    </row>
    <row r="28" spans="1:6" s="1912" customFormat="1">
      <c r="A28" s="1655"/>
      <c r="B28" s="1655" t="s">
        <v>1727</v>
      </c>
      <c r="C28" s="1680"/>
      <c r="D28" s="1680"/>
      <c r="E28" s="1915"/>
      <c r="F28" s="1917"/>
    </row>
    <row r="29" spans="1:6" s="1912" customFormat="1" ht="13.8">
      <c r="A29" s="1655"/>
      <c r="B29" s="1655" t="s">
        <v>1728</v>
      </c>
      <c r="C29" s="1680" t="s">
        <v>1409</v>
      </c>
      <c r="D29" s="1680">
        <f>+D20</f>
        <v>120</v>
      </c>
      <c r="E29" s="1915"/>
      <c r="F29" s="1916"/>
    </row>
    <row r="30" spans="1:6" s="1912" customFormat="1">
      <c r="A30" s="1655"/>
      <c r="B30" s="1655"/>
      <c r="C30" s="1680"/>
      <c r="D30" s="1680"/>
      <c r="E30" s="1915"/>
      <c r="F30" s="1917"/>
    </row>
    <row r="31" spans="1:6" s="1912" customFormat="1">
      <c r="A31" s="1680" t="s">
        <v>1729</v>
      </c>
      <c r="B31" s="1655" t="s">
        <v>1730</v>
      </c>
      <c r="C31" s="1680"/>
      <c r="D31" s="1680"/>
      <c r="E31" s="1915"/>
      <c r="F31" s="1917"/>
    </row>
    <row r="32" spans="1:6" s="1912" customFormat="1">
      <c r="A32" s="1680"/>
      <c r="B32" s="1655"/>
      <c r="C32" s="1680"/>
      <c r="D32" s="1680"/>
      <c r="E32" s="1915"/>
      <c r="F32" s="1917"/>
    </row>
    <row r="33" spans="1:6" s="1912" customFormat="1" ht="13.5" customHeight="1">
      <c r="A33" s="1680"/>
      <c r="B33" s="1655" t="s">
        <v>1731</v>
      </c>
      <c r="C33" s="1680"/>
      <c r="D33" s="1680"/>
      <c r="E33" s="1915"/>
      <c r="F33" s="1917"/>
    </row>
    <row r="34" spans="1:6" s="1912" customFormat="1">
      <c r="A34" s="1680"/>
      <c r="B34" s="1655"/>
      <c r="C34" s="1680"/>
      <c r="D34" s="1680"/>
      <c r="E34" s="1915"/>
      <c r="F34" s="1917"/>
    </row>
    <row r="35" spans="1:6" s="1912" customFormat="1">
      <c r="A35" s="1680" t="s">
        <v>1015</v>
      </c>
      <c r="B35" s="1655" t="s">
        <v>1732</v>
      </c>
      <c r="C35" s="1680" t="s">
        <v>473</v>
      </c>
      <c r="D35" s="1680">
        <v>6</v>
      </c>
      <c r="E35" s="1915"/>
      <c r="F35" s="1916"/>
    </row>
    <row r="36" spans="1:6" s="1912" customFormat="1">
      <c r="A36" s="1680"/>
      <c r="B36" s="1655"/>
      <c r="C36" s="1680"/>
      <c r="D36" s="1680"/>
      <c r="E36" s="1915"/>
      <c r="F36" s="1917"/>
    </row>
    <row r="37" spans="1:6" s="1912" customFormat="1" ht="13.5" customHeight="1">
      <c r="A37" s="1680" t="s">
        <v>1733</v>
      </c>
      <c r="B37" s="1655" t="s">
        <v>1734</v>
      </c>
      <c r="C37" s="1680" t="s">
        <v>1735</v>
      </c>
      <c r="D37" s="1680">
        <f>+(0.4*0.4*0.5)*50</f>
        <v>4.0000000000000009</v>
      </c>
      <c r="E37" s="1915"/>
      <c r="F37" s="1916"/>
    </row>
    <row r="38" spans="1:6" s="1912" customFormat="1">
      <c r="A38" s="1680"/>
      <c r="B38" s="1655" t="s">
        <v>1736</v>
      </c>
      <c r="C38" s="1680"/>
      <c r="D38" s="1680"/>
      <c r="E38" s="1915"/>
      <c r="F38" s="1917"/>
    </row>
    <row r="39" spans="1:6" s="1912" customFormat="1">
      <c r="A39" s="1680"/>
      <c r="B39" s="1655" t="s">
        <v>1737</v>
      </c>
      <c r="C39" s="1680"/>
      <c r="D39" s="1680"/>
      <c r="E39" s="1915"/>
      <c r="F39" s="1917"/>
    </row>
    <row r="40" spans="1:6" s="1912" customFormat="1">
      <c r="A40" s="1680"/>
      <c r="B40" s="1655"/>
      <c r="C40" s="1680"/>
      <c r="D40" s="1680"/>
      <c r="E40" s="1915"/>
      <c r="F40" s="1917"/>
    </row>
    <row r="41" spans="1:6" s="1912" customFormat="1" ht="13.8">
      <c r="A41" s="1680" t="s">
        <v>1738</v>
      </c>
      <c r="B41" s="1655" t="s">
        <v>1739</v>
      </c>
      <c r="C41" s="1680" t="s">
        <v>1735</v>
      </c>
      <c r="D41" s="1680">
        <v>8</v>
      </c>
      <c r="E41" s="1915"/>
      <c r="F41" s="1916"/>
    </row>
    <row r="42" spans="1:6" s="1912" customFormat="1">
      <c r="A42" s="1680"/>
      <c r="B42" s="1655" t="s">
        <v>1740</v>
      </c>
      <c r="C42" s="1680"/>
      <c r="D42" s="1680"/>
      <c r="E42" s="1917"/>
      <c r="F42" s="1917"/>
    </row>
    <row r="43" spans="1:6" s="1912" customFormat="1">
      <c r="A43" s="1680"/>
      <c r="B43" s="1655"/>
      <c r="C43" s="1680"/>
      <c r="D43" s="1680"/>
      <c r="E43" s="1917"/>
      <c r="F43" s="1917"/>
    </row>
    <row r="44" spans="1:6" s="1912" customFormat="1" ht="13.8">
      <c r="A44" s="1918">
        <v>56.07</v>
      </c>
      <c r="B44" s="1919" t="s">
        <v>1741</v>
      </c>
      <c r="C44" s="1918" t="s">
        <v>1735</v>
      </c>
      <c r="D44" s="1918">
        <v>6</v>
      </c>
      <c r="E44" s="1916"/>
      <c r="F44" s="1916"/>
    </row>
    <row r="45" spans="1:6" s="1912" customFormat="1">
      <c r="A45" s="1918"/>
      <c r="B45" s="1919"/>
      <c r="C45" s="1918"/>
      <c r="D45" s="1918"/>
      <c r="E45" s="1916"/>
      <c r="F45" s="1916"/>
    </row>
    <row r="46" spans="1:6" s="1912" customFormat="1">
      <c r="A46" s="1918">
        <v>56.12</v>
      </c>
      <c r="B46" s="1919" t="s">
        <v>1742</v>
      </c>
      <c r="C46" s="1918"/>
      <c r="D46" s="1918"/>
      <c r="E46" s="1916"/>
      <c r="F46" s="1916"/>
    </row>
    <row r="47" spans="1:6" s="1912" customFormat="1">
      <c r="A47" s="1918"/>
      <c r="B47" s="1919" t="s">
        <v>1743</v>
      </c>
      <c r="C47" s="1918" t="s">
        <v>148</v>
      </c>
      <c r="D47" s="1918">
        <v>10</v>
      </c>
      <c r="E47" s="1916"/>
      <c r="F47" s="1916"/>
    </row>
    <row r="48" spans="1:6" s="1912" customFormat="1">
      <c r="A48" s="1918"/>
      <c r="B48" s="1919"/>
      <c r="C48" s="1918"/>
      <c r="D48" s="1918"/>
      <c r="E48" s="1916"/>
      <c r="F48" s="1920"/>
    </row>
    <row r="49" spans="1:6" s="1912" customFormat="1">
      <c r="A49" s="1919"/>
      <c r="B49" s="1919"/>
      <c r="C49" s="1918"/>
      <c r="D49" s="1918"/>
      <c r="E49" s="1916"/>
      <c r="F49" s="1920"/>
    </row>
    <row r="50" spans="1:6" s="1912" customFormat="1">
      <c r="A50" s="1919"/>
      <c r="B50" s="1919"/>
      <c r="C50" s="1918"/>
      <c r="D50" s="1918"/>
      <c r="E50" s="1920"/>
      <c r="F50" s="1920"/>
    </row>
    <row r="51" spans="1:6" s="1912" customFormat="1">
      <c r="A51" s="1919"/>
      <c r="B51" s="1919"/>
      <c r="C51" s="1918"/>
      <c r="D51" s="1918"/>
      <c r="E51" s="1920"/>
      <c r="F51" s="1920"/>
    </row>
    <row r="52" spans="1:6" s="1912" customFormat="1">
      <c r="A52" s="1919"/>
      <c r="B52" s="1919"/>
      <c r="C52" s="1918"/>
      <c r="D52" s="1918"/>
      <c r="E52" s="1920"/>
      <c r="F52" s="1920"/>
    </row>
    <row r="53" spans="1:6" s="1912" customFormat="1">
      <c r="A53" s="1919"/>
      <c r="B53" s="1919"/>
      <c r="C53" s="1918"/>
      <c r="D53" s="1918"/>
      <c r="E53" s="1920"/>
      <c r="F53" s="1920"/>
    </row>
    <row r="54" spans="1:6" s="1912" customFormat="1">
      <c r="A54" s="1919"/>
      <c r="B54" s="1919"/>
      <c r="C54" s="1918"/>
      <c r="D54" s="1918"/>
      <c r="E54" s="1920"/>
      <c r="F54" s="1920"/>
    </row>
    <row r="55" spans="1:6" s="1912" customFormat="1">
      <c r="A55" s="1919"/>
      <c r="B55" s="1919"/>
      <c r="C55" s="1918"/>
      <c r="D55" s="1918"/>
      <c r="E55" s="1920"/>
      <c r="F55" s="1920"/>
    </row>
    <row r="56" spans="1:6" s="1912" customFormat="1">
      <c r="A56" s="1919"/>
      <c r="B56" s="1919"/>
      <c r="C56" s="1918"/>
      <c r="D56" s="1918"/>
      <c r="E56" s="1920"/>
      <c r="F56" s="1920"/>
    </row>
    <row r="57" spans="1:6" s="1912" customFormat="1">
      <c r="A57" s="1919"/>
      <c r="B57" s="1919"/>
      <c r="C57" s="1918"/>
      <c r="D57" s="1918"/>
      <c r="E57" s="1920"/>
      <c r="F57" s="1920"/>
    </row>
    <row r="58" spans="1:6" s="1912" customFormat="1">
      <c r="A58" s="1919"/>
      <c r="B58" s="1919"/>
      <c r="C58" s="1918"/>
      <c r="D58" s="1918"/>
      <c r="E58" s="1920"/>
      <c r="F58" s="1920"/>
    </row>
    <row r="59" spans="1:6" s="1912" customFormat="1">
      <c r="A59" s="1655"/>
      <c r="B59" s="1655"/>
      <c r="C59" s="1680"/>
      <c r="D59" s="1680"/>
      <c r="E59" s="1680"/>
      <c r="F59" s="1680"/>
    </row>
    <row r="60" spans="1:6" s="1912" customFormat="1">
      <c r="A60" s="1655"/>
      <c r="B60" s="1655"/>
      <c r="C60" s="1680"/>
      <c r="D60" s="1680"/>
      <c r="E60" s="1680"/>
      <c r="F60" s="1680"/>
    </row>
    <row r="61" spans="1:6" s="1912" customFormat="1" ht="15" customHeight="1">
      <c r="A61" s="1921">
        <v>5600</v>
      </c>
      <c r="B61" s="1659" t="s">
        <v>1417</v>
      </c>
      <c r="C61" s="1922"/>
      <c r="D61" s="1922"/>
      <c r="E61" s="1922"/>
      <c r="F61" s="1923"/>
    </row>
    <row r="62" spans="1:6" s="1912" customFormat="1">
      <c r="C62" s="1924"/>
    </row>
    <row r="63" spans="1:6" s="1912" customFormat="1"/>
    <row r="64" spans="1:6" s="1912" customFormat="1"/>
    <row r="65" s="1912" customFormat="1"/>
    <row r="66" s="1912" customFormat="1"/>
    <row r="67" s="1912" customFormat="1"/>
    <row r="68" s="1912" customFormat="1"/>
    <row r="69" s="1912" customFormat="1"/>
    <row r="70" s="1912" customFormat="1"/>
    <row r="71" s="1912" customFormat="1"/>
    <row r="72" s="1912" customFormat="1"/>
    <row r="73" s="1912" customFormat="1"/>
  </sheetData>
  <pageMargins left="0.94488188976377963" right="0.35433070866141736" top="0.78740157480314965" bottom="0.78740157480314965" header="0.51181102362204722" footer="0.51181102362204722"/>
  <pageSetup paperSize="9" scale="83" orientation="portrait" r:id="rId1"/>
  <headerFooter alignWithMargins="0">
    <oddHeader>&amp;CC80.30</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topLeftCell="A5" zoomScale="120" zoomScaleNormal="100" zoomScaleSheetLayoutView="120" workbookViewId="0">
      <selection activeCell="M19" sqref="M19"/>
    </sheetView>
  </sheetViews>
  <sheetFormatPr defaultColWidth="14.33203125" defaultRowHeight="12" customHeight="1"/>
  <cols>
    <col min="1" max="1" width="10" style="1855" customWidth="1"/>
    <col min="2" max="3" width="4.88671875" style="1855" customWidth="1"/>
    <col min="4" max="4" width="34.44140625" style="1855" customWidth="1"/>
    <col min="5" max="5" width="8.6640625" style="1856" customWidth="1"/>
    <col min="6" max="7" width="11.33203125" style="1857" customWidth="1"/>
    <col min="8" max="8" width="14.33203125" style="1857" customWidth="1"/>
    <col min="9" max="16384" width="14.33203125" style="1858"/>
  </cols>
  <sheetData>
    <row r="1" spans="1:8" ht="12" customHeight="1">
      <c r="A1" s="1854" t="str">
        <f>+'5600'!A1</f>
        <v>GREATER LETABA MUNICIPALITY</v>
      </c>
      <c r="B1" s="1859"/>
      <c r="C1" s="1859"/>
      <c r="D1" s="1859"/>
    </row>
    <row r="2" spans="1:8" ht="12" customHeight="1">
      <c r="A2" s="1854" t="str">
        <f>+'5600'!A2</f>
        <v>CONTRACT NUMBER: GLM015/2025</v>
      </c>
      <c r="B2" s="1859"/>
      <c r="C2" s="1859"/>
      <c r="D2" s="1859"/>
    </row>
    <row r="3" spans="1:8" ht="12" customHeight="1">
      <c r="A3" s="1854" t="str">
        <f>+'5600'!A3</f>
        <v>SCHEDULE B : ROADWORKS</v>
      </c>
      <c r="B3" s="1859"/>
      <c r="C3" s="1859"/>
      <c r="D3" s="1859"/>
    </row>
    <row r="4" spans="1:8" ht="12" customHeight="1">
      <c r="A4" s="1861" t="s">
        <v>1690</v>
      </c>
      <c r="B4" s="1859"/>
      <c r="C4" s="1859"/>
      <c r="D4" s="1859"/>
    </row>
    <row r="5" spans="1:8" ht="12" customHeight="1">
      <c r="A5" s="1892" t="s">
        <v>1691</v>
      </c>
      <c r="B5" s="1859"/>
      <c r="C5" s="1859"/>
      <c r="D5" s="1859"/>
      <c r="F5" s="1860"/>
      <c r="G5" s="1860"/>
    </row>
    <row r="6" spans="1:8" ht="12" customHeight="1">
      <c r="A6" s="1862"/>
      <c r="B6" s="1863"/>
      <c r="C6" s="1864"/>
      <c r="D6" s="1865"/>
      <c r="E6" s="1862"/>
      <c r="F6" s="1866"/>
      <c r="G6" s="1866"/>
      <c r="H6" s="1867"/>
    </row>
    <row r="7" spans="1:8" ht="12" customHeight="1">
      <c r="A7" s="1868" t="s">
        <v>0</v>
      </c>
      <c r="B7" s="1869" t="s">
        <v>2</v>
      </c>
      <c r="C7" s="2321"/>
      <c r="D7" s="1870"/>
      <c r="E7" s="1868" t="s">
        <v>3</v>
      </c>
      <c r="F7" s="1871" t="s">
        <v>4</v>
      </c>
      <c r="G7" s="1871" t="s">
        <v>5</v>
      </c>
      <c r="H7" s="2322" t="s">
        <v>6</v>
      </c>
    </row>
    <row r="8" spans="1:8" ht="12" customHeight="1">
      <c r="A8" s="1872"/>
      <c r="B8" s="1873"/>
      <c r="C8" s="1874"/>
      <c r="D8" s="1875"/>
      <c r="E8" s="1876"/>
      <c r="F8" s="1877"/>
      <c r="G8" s="1877"/>
      <c r="H8" s="2323" t="str">
        <f t="shared" ref="H8:H15" si="0">IF(OR(AND(F8="Prov",G8="Sum"),(G8="PC Sum")),". . . . . . . . .00",IF(ISERR(F8*G8),"",IF(F8*G8=0,"",ROUND(F8*G8,2))))</f>
        <v/>
      </c>
    </row>
    <row r="9" spans="1:8" ht="12" customHeight="1">
      <c r="A9" s="1878"/>
      <c r="B9" s="1879" t="s">
        <v>1691</v>
      </c>
      <c r="C9" s="2324"/>
      <c r="D9" s="1880"/>
      <c r="E9" s="1881"/>
      <c r="F9" s="1882"/>
      <c r="G9" s="1883"/>
      <c r="H9" s="2325" t="str">
        <f t="shared" si="0"/>
        <v/>
      </c>
    </row>
    <row r="10" spans="1:8" ht="12" customHeight="1">
      <c r="A10" s="1878"/>
      <c r="B10" s="1884"/>
      <c r="C10" s="2326"/>
      <c r="D10" s="1880"/>
      <c r="E10" s="1881"/>
      <c r="F10" s="1882"/>
      <c r="G10" s="1883"/>
      <c r="H10" s="2325" t="str">
        <f t="shared" si="0"/>
        <v/>
      </c>
    </row>
    <row r="11" spans="1:8" ht="12" customHeight="1">
      <c r="A11" s="1878"/>
      <c r="B11" s="1884"/>
      <c r="C11" s="2326"/>
      <c r="D11" s="1880"/>
      <c r="E11" s="1881"/>
      <c r="F11" s="1882"/>
      <c r="G11" s="1883"/>
      <c r="H11" s="2325" t="str">
        <f t="shared" si="0"/>
        <v/>
      </c>
    </row>
    <row r="12" spans="1:8" ht="12" customHeight="1">
      <c r="A12" s="1878" t="s">
        <v>1692</v>
      </c>
      <c r="B12" s="1884" t="s">
        <v>1693</v>
      </c>
      <c r="C12" s="2326"/>
      <c r="D12" s="1880"/>
      <c r="E12" s="1881"/>
      <c r="F12" s="1882"/>
      <c r="G12" s="1883"/>
      <c r="H12" s="2325" t="str">
        <f t="shared" si="0"/>
        <v/>
      </c>
    </row>
    <row r="13" spans="1:8" ht="12" customHeight="1">
      <c r="A13" s="1878"/>
      <c r="B13" s="1884"/>
      <c r="C13" s="2326"/>
      <c r="D13" s="1880"/>
      <c r="E13" s="1881"/>
      <c r="F13" s="1882"/>
      <c r="G13" s="1883"/>
      <c r="H13" s="2327" t="str">
        <f t="shared" si="0"/>
        <v/>
      </c>
    </row>
    <row r="14" spans="1:8" ht="12" customHeight="1">
      <c r="A14" s="1878" t="s">
        <v>1015</v>
      </c>
      <c r="B14" s="1885" t="s">
        <v>1180</v>
      </c>
      <c r="C14" s="2328" t="s">
        <v>1694</v>
      </c>
      <c r="D14" s="1880"/>
      <c r="E14" s="1881"/>
      <c r="F14" s="1882"/>
      <c r="G14" s="1883"/>
      <c r="H14" s="2327" t="str">
        <f t="shared" si="0"/>
        <v/>
      </c>
    </row>
    <row r="15" spans="1:8" ht="12" customHeight="1">
      <c r="A15" s="1878"/>
      <c r="B15" s="1884"/>
      <c r="C15" s="2326"/>
      <c r="D15" s="1880"/>
      <c r="E15" s="1881"/>
      <c r="F15" s="1882"/>
      <c r="G15" s="1883"/>
      <c r="H15" s="2327" t="str">
        <f t="shared" si="0"/>
        <v/>
      </c>
    </row>
    <row r="16" spans="1:8" ht="12" customHeight="1">
      <c r="A16" s="1878"/>
      <c r="B16" s="1884"/>
      <c r="C16" s="2328" t="s">
        <v>1472</v>
      </c>
      <c r="D16" s="1880" t="s">
        <v>1695</v>
      </c>
      <c r="E16" s="1881" t="s">
        <v>1395</v>
      </c>
      <c r="F16" s="1886">
        <v>1.51</v>
      </c>
      <c r="G16" s="1883"/>
      <c r="H16" s="2329"/>
    </row>
    <row r="17" spans="1:8" ht="12" customHeight="1">
      <c r="A17" s="1878"/>
      <c r="B17" s="1884"/>
      <c r="C17" s="2328"/>
      <c r="D17" s="1880"/>
      <c r="E17" s="1881"/>
      <c r="F17" s="1886"/>
      <c r="G17" s="1883"/>
      <c r="H17" s="2327"/>
    </row>
    <row r="18" spans="1:8" ht="12" customHeight="1">
      <c r="A18" s="1878"/>
      <c r="B18" s="1884"/>
      <c r="C18" s="2328" t="s">
        <v>1667</v>
      </c>
      <c r="D18" s="1880" t="s">
        <v>1696</v>
      </c>
      <c r="E18" s="1881" t="s">
        <v>1395</v>
      </c>
      <c r="F18" s="1886">
        <v>0.51</v>
      </c>
      <c r="G18" s="1883"/>
      <c r="H18" s="2329"/>
    </row>
    <row r="19" spans="1:8" ht="12" customHeight="1">
      <c r="A19" s="1878"/>
      <c r="B19" s="1884"/>
      <c r="C19" s="2328"/>
      <c r="D19" s="1880"/>
      <c r="E19" s="1881"/>
      <c r="F19" s="1886"/>
      <c r="G19" s="1883"/>
      <c r="H19" s="2329"/>
    </row>
    <row r="20" spans="1:8" ht="12" customHeight="1">
      <c r="A20" s="1878" t="s">
        <v>1015</v>
      </c>
      <c r="B20" s="1885" t="s">
        <v>1195</v>
      </c>
      <c r="C20" s="2328" t="s">
        <v>1697</v>
      </c>
      <c r="D20" s="1880"/>
      <c r="E20" s="1881"/>
      <c r="F20" s="1887"/>
      <c r="G20" s="1883"/>
      <c r="H20" s="2329"/>
    </row>
    <row r="21" spans="1:8" ht="12" customHeight="1">
      <c r="A21" s="1878"/>
      <c r="B21" s="1885"/>
      <c r="C21" s="2328"/>
      <c r="D21" s="1880"/>
      <c r="E21" s="1881"/>
      <c r="F21" s="1886"/>
      <c r="G21" s="1883"/>
      <c r="H21" s="2329"/>
    </row>
    <row r="22" spans="1:8" ht="12" customHeight="1">
      <c r="A22" s="1878"/>
      <c r="B22" s="1884"/>
      <c r="C22" s="2328" t="s">
        <v>1472</v>
      </c>
      <c r="D22" s="1880" t="s">
        <v>1695</v>
      </c>
      <c r="E22" s="1881" t="s">
        <v>1395</v>
      </c>
      <c r="F22" s="1886">
        <v>4</v>
      </c>
      <c r="G22" s="1883"/>
      <c r="H22" s="2329"/>
    </row>
    <row r="23" spans="1:8" ht="12" customHeight="1">
      <c r="A23" s="1878"/>
      <c r="B23" s="1884"/>
      <c r="C23" s="2328"/>
      <c r="D23" s="1880"/>
      <c r="E23" s="1881"/>
      <c r="F23" s="1886"/>
      <c r="G23" s="1883"/>
      <c r="H23" s="2329"/>
    </row>
    <row r="24" spans="1:8" ht="12" customHeight="1">
      <c r="A24" s="1878"/>
      <c r="B24" s="1884"/>
      <c r="C24" s="2326"/>
      <c r="D24" s="1880"/>
      <c r="E24" s="1881"/>
      <c r="F24" s="1882"/>
      <c r="G24" s="1883"/>
      <c r="H24" s="2329"/>
    </row>
    <row r="25" spans="1:8" ht="12" customHeight="1">
      <c r="A25" s="1878" t="s">
        <v>1015</v>
      </c>
      <c r="B25" s="1885" t="s">
        <v>1222</v>
      </c>
      <c r="C25" s="2328" t="s">
        <v>1698</v>
      </c>
      <c r="D25" s="1880"/>
      <c r="E25" s="1881" t="s">
        <v>877</v>
      </c>
      <c r="F25" s="1882"/>
      <c r="G25" s="1883"/>
      <c r="H25" s="2329"/>
    </row>
    <row r="26" spans="1:8" ht="12" customHeight="1">
      <c r="A26" s="1878"/>
      <c r="B26" s="1884"/>
      <c r="C26" s="2328"/>
      <c r="D26" s="1880"/>
      <c r="E26" s="1881"/>
      <c r="F26" s="1882"/>
      <c r="G26" s="1883"/>
      <c r="H26" s="2329"/>
    </row>
    <row r="27" spans="1:8" ht="12" customHeight="1">
      <c r="A27" s="1878"/>
      <c r="B27" s="1885" t="s">
        <v>1351</v>
      </c>
      <c r="C27" s="2328" t="s">
        <v>1699</v>
      </c>
      <c r="D27" s="1880"/>
      <c r="E27" s="1881" t="s">
        <v>877</v>
      </c>
      <c r="F27" s="1882">
        <v>0.5</v>
      </c>
      <c r="G27" s="1883"/>
      <c r="H27" s="2329"/>
    </row>
    <row r="28" spans="1:8" ht="12" customHeight="1">
      <c r="A28" s="1878"/>
      <c r="B28" s="1884"/>
      <c r="C28" s="2328"/>
      <c r="D28" s="1880"/>
      <c r="E28" s="1881"/>
      <c r="F28" s="1882"/>
      <c r="G28" s="1883"/>
      <c r="H28" s="2329"/>
    </row>
    <row r="29" spans="1:8" ht="12" customHeight="1">
      <c r="A29" s="1878"/>
      <c r="B29" s="1885" t="s">
        <v>1226</v>
      </c>
      <c r="C29" s="2328" t="s">
        <v>1700</v>
      </c>
      <c r="D29" s="1880"/>
      <c r="E29" s="1881"/>
      <c r="F29" s="1882"/>
      <c r="G29" s="1883"/>
      <c r="H29" s="2329"/>
    </row>
    <row r="30" spans="1:8" ht="12" customHeight="1">
      <c r="A30" s="1878"/>
      <c r="B30" s="1884"/>
      <c r="C30" s="2328" t="s">
        <v>1701</v>
      </c>
      <c r="D30" s="1880"/>
      <c r="E30" s="1881" t="s">
        <v>877</v>
      </c>
      <c r="F30" s="1882">
        <f>80*2</f>
        <v>160</v>
      </c>
      <c r="G30" s="1883"/>
      <c r="H30" s="2329"/>
    </row>
    <row r="31" spans="1:8" ht="12" customHeight="1">
      <c r="A31" s="1878"/>
      <c r="B31" s="1884"/>
      <c r="C31" s="2328"/>
      <c r="D31" s="1880"/>
      <c r="E31" s="1881"/>
      <c r="F31" s="1882"/>
      <c r="G31" s="1883"/>
      <c r="H31" s="2329"/>
    </row>
    <row r="32" spans="1:8" ht="12" customHeight="1">
      <c r="A32" s="1878"/>
      <c r="B32" s="1885"/>
      <c r="C32" s="2328"/>
      <c r="D32" s="1880"/>
      <c r="E32" s="1881"/>
      <c r="F32" s="1882"/>
      <c r="G32" s="1883"/>
      <c r="H32" s="2329"/>
    </row>
    <row r="33" spans="1:8" ht="12" customHeight="1">
      <c r="A33" s="1878" t="s">
        <v>1702</v>
      </c>
      <c r="B33" s="1884" t="s">
        <v>1703</v>
      </c>
      <c r="C33" s="2328"/>
      <c r="D33" s="1880"/>
      <c r="E33" s="1881"/>
      <c r="F33" s="1882"/>
      <c r="G33" s="1883"/>
      <c r="H33" s="2329"/>
    </row>
    <row r="34" spans="1:8" ht="12" customHeight="1">
      <c r="A34" s="1878"/>
      <c r="B34" s="1884" t="s">
        <v>1704</v>
      </c>
      <c r="C34" s="2328"/>
      <c r="D34" s="1880"/>
      <c r="E34" s="1881"/>
      <c r="F34" s="1882"/>
      <c r="G34" s="1883"/>
      <c r="H34" s="2329"/>
    </row>
    <row r="35" spans="1:8" ht="12" customHeight="1">
      <c r="A35" s="1878"/>
      <c r="B35" s="1884" t="s">
        <v>1705</v>
      </c>
      <c r="C35" s="2328"/>
      <c r="D35" s="1880"/>
      <c r="E35" s="1881" t="s">
        <v>1395</v>
      </c>
      <c r="F35" s="1888">
        <v>0.5</v>
      </c>
      <c r="G35" s="1883"/>
      <c r="H35" s="2329"/>
    </row>
    <row r="36" spans="1:8" ht="12" customHeight="1">
      <c r="A36" s="1878"/>
      <c r="B36" s="1884"/>
      <c r="C36" s="2328"/>
      <c r="D36" s="1880"/>
      <c r="E36" s="1881"/>
      <c r="F36" s="1882"/>
      <c r="G36" s="1883"/>
      <c r="H36" s="2327"/>
    </row>
    <row r="37" spans="1:8" ht="12" customHeight="1">
      <c r="A37" s="1878" t="s">
        <v>1706</v>
      </c>
      <c r="B37" s="1884" t="s">
        <v>1707</v>
      </c>
      <c r="C37" s="2328"/>
      <c r="D37" s="1880"/>
      <c r="E37" s="1881"/>
      <c r="F37" s="1882"/>
      <c r="G37" s="1883"/>
      <c r="H37" s="2330"/>
    </row>
    <row r="38" spans="1:8" ht="12" customHeight="1">
      <c r="A38" s="1878"/>
      <c r="B38" s="1884"/>
      <c r="C38" s="2328"/>
      <c r="D38" s="1880"/>
      <c r="E38" s="1881"/>
      <c r="F38" s="1887"/>
      <c r="G38" s="1887"/>
      <c r="H38" s="2327"/>
    </row>
    <row r="39" spans="1:8" ht="12" customHeight="1">
      <c r="A39" s="1878"/>
      <c r="B39" s="1885" t="s">
        <v>1708</v>
      </c>
      <c r="C39" s="2328"/>
      <c r="D39" s="1880"/>
      <c r="E39" s="1881"/>
      <c r="F39" s="1887"/>
      <c r="G39" s="1887"/>
      <c r="H39" s="2327"/>
    </row>
    <row r="40" spans="1:8" ht="12" customHeight="1">
      <c r="A40" s="1878"/>
      <c r="B40" s="1889" t="s">
        <v>1709</v>
      </c>
      <c r="C40" s="2331"/>
      <c r="D40" s="1890"/>
      <c r="E40" s="1881" t="s">
        <v>138</v>
      </c>
      <c r="F40" s="1882">
        <v>200</v>
      </c>
      <c r="G40" s="1883"/>
      <c r="H40" s="2327"/>
    </row>
    <row r="41" spans="1:8" ht="12" customHeight="1">
      <c r="A41" s="1878"/>
      <c r="B41" s="1884"/>
      <c r="C41" s="2326"/>
      <c r="D41" s="1880"/>
      <c r="E41" s="1881"/>
      <c r="F41" s="1882"/>
      <c r="G41" s="1883"/>
      <c r="H41" s="2327"/>
    </row>
    <row r="42" spans="1:8" ht="12" customHeight="1">
      <c r="A42" s="1878"/>
      <c r="B42" s="1884"/>
      <c r="C42" s="2328"/>
      <c r="D42" s="1880"/>
      <c r="E42" s="1881"/>
      <c r="F42" s="1882"/>
      <c r="G42" s="1883"/>
      <c r="H42" s="2327"/>
    </row>
    <row r="43" spans="1:8" ht="12" customHeight="1">
      <c r="A43" s="1878"/>
      <c r="B43" s="1884"/>
      <c r="C43" s="2326"/>
      <c r="D43" s="1880"/>
      <c r="E43" s="1881"/>
      <c r="F43" s="1882"/>
      <c r="G43" s="1883"/>
      <c r="H43" s="2325"/>
    </row>
    <row r="44" spans="1:8" ht="12" customHeight="1">
      <c r="A44" s="1878"/>
      <c r="B44" s="1885"/>
      <c r="C44" s="2328"/>
      <c r="D44" s="1880"/>
      <c r="E44" s="1881"/>
      <c r="F44" s="1882"/>
      <c r="G44" s="1883"/>
      <c r="H44" s="2325"/>
    </row>
    <row r="45" spans="1:8" ht="12" customHeight="1">
      <c r="A45" s="1878"/>
      <c r="B45" s="1884"/>
      <c r="C45" s="2328"/>
      <c r="D45" s="1880"/>
      <c r="E45" s="1881"/>
      <c r="F45" s="1882"/>
      <c r="G45" s="1883"/>
      <c r="H45" s="2325"/>
    </row>
    <row r="46" spans="1:8" ht="12" customHeight="1">
      <c r="A46" s="1878"/>
      <c r="B46" s="1885"/>
      <c r="C46" s="2328"/>
      <c r="D46" s="1880"/>
      <c r="E46" s="1881"/>
      <c r="F46" s="1882"/>
      <c r="G46" s="1883"/>
      <c r="H46" s="2325"/>
    </row>
    <row r="47" spans="1:8" ht="12" customHeight="1">
      <c r="A47" s="1878"/>
      <c r="B47" s="1884"/>
      <c r="C47" s="2328"/>
      <c r="D47" s="1880"/>
      <c r="E47" s="1881"/>
      <c r="F47" s="1882"/>
      <c r="G47" s="1883"/>
      <c r="H47" s="2325"/>
    </row>
    <row r="48" spans="1:8" ht="12" customHeight="1">
      <c r="A48" s="1878"/>
      <c r="B48" s="1885"/>
      <c r="C48" s="2328"/>
      <c r="D48" s="1880"/>
      <c r="E48" s="1881"/>
      <c r="F48" s="1882"/>
      <c r="G48" s="1883"/>
      <c r="H48" s="2325"/>
    </row>
    <row r="49" spans="1:8" ht="12" customHeight="1">
      <c r="A49" s="1878"/>
      <c r="B49" s="1884"/>
      <c r="C49" s="2328"/>
      <c r="D49" s="1880"/>
      <c r="E49" s="1881"/>
      <c r="F49" s="1882"/>
      <c r="G49" s="1883"/>
      <c r="H49" s="2325"/>
    </row>
    <row r="50" spans="1:8" ht="12" customHeight="1">
      <c r="A50" s="1878"/>
      <c r="B50" s="1884"/>
      <c r="C50" s="2328"/>
      <c r="D50" s="1880"/>
      <c r="E50" s="1881"/>
      <c r="F50" s="1882"/>
      <c r="G50" s="1883"/>
      <c r="H50" s="2325"/>
    </row>
    <row r="51" spans="1:8" ht="12" customHeight="1">
      <c r="A51" s="1878"/>
      <c r="B51" s="1885"/>
      <c r="C51" s="2328"/>
      <c r="D51" s="1880"/>
      <c r="E51" s="1881"/>
      <c r="F51" s="1882"/>
      <c r="G51" s="1883"/>
      <c r="H51" s="2325"/>
    </row>
    <row r="52" spans="1:8" ht="12" customHeight="1">
      <c r="A52" s="1878"/>
      <c r="B52" s="1884"/>
      <c r="C52" s="2326"/>
      <c r="D52" s="1880"/>
      <c r="E52" s="1881"/>
      <c r="F52" s="1882"/>
      <c r="G52" s="1883"/>
      <c r="H52" s="2325"/>
    </row>
    <row r="53" spans="1:8" ht="12" customHeight="1">
      <c r="A53" s="1891"/>
      <c r="B53" s="1892"/>
      <c r="C53" s="2332"/>
      <c r="D53" s="1893"/>
      <c r="E53" s="1894"/>
      <c r="F53" s="1895"/>
      <c r="G53" s="1896"/>
      <c r="H53" s="2323"/>
    </row>
    <row r="54" spans="1:8" ht="12" customHeight="1">
      <c r="A54" s="1891"/>
      <c r="B54" s="1892"/>
      <c r="C54" s="2332"/>
      <c r="D54" s="1893"/>
      <c r="E54" s="1894"/>
      <c r="F54" s="1895"/>
      <c r="G54" s="1896"/>
      <c r="H54" s="2323"/>
    </row>
    <row r="55" spans="1:8" ht="12" customHeight="1">
      <c r="A55" s="1897"/>
      <c r="B55" s="1898"/>
      <c r="C55" s="1899"/>
      <c r="D55" s="1900"/>
      <c r="E55" s="1901"/>
      <c r="F55" s="1902"/>
      <c r="G55" s="1902"/>
      <c r="H55" s="2323"/>
    </row>
    <row r="56" spans="1:8" ht="12" customHeight="1">
      <c r="A56" s="1903" t="s">
        <v>1710</v>
      </c>
      <c r="B56" s="1904" t="s">
        <v>139</v>
      </c>
      <c r="C56" s="1905"/>
      <c r="D56" s="1906"/>
      <c r="E56" s="1907"/>
      <c r="F56" s="1908"/>
      <c r="G56" s="1909"/>
      <c r="H56" s="1910"/>
    </row>
    <row r="57" spans="1:8" ht="12" customHeight="1">
      <c r="A57" s="2333"/>
      <c r="B57" s="2333"/>
      <c r="C57" s="2333"/>
      <c r="D57" s="2333"/>
      <c r="E57" s="2334"/>
      <c r="F57" s="2335"/>
      <c r="G57" s="2335"/>
      <c r="H57" s="2336"/>
    </row>
  </sheetData>
  <pageMargins left="0.74803149606299213" right="0.74803149606299213" top="0.98425196850393704" bottom="0.98425196850393704" header="0.51181102362204722" footer="0.51181102362204722"/>
  <pageSetup paperSize="9" scale="85" firstPageNumber="47" orientation="portrait" useFirstPageNumber="1" r:id="rId1"/>
  <headerFooter alignWithMargins="0">
    <oddHeader xml:space="preserve">&amp;C&amp;12 C80.31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view="pageBreakPreview" zoomScale="110" zoomScaleNormal="100" zoomScaleSheetLayoutView="110" workbookViewId="0">
      <pane ySplit="8" topLeftCell="A51" activePane="bottomLeft" state="frozen"/>
      <selection activeCell="H47" sqref="H47"/>
      <selection pane="bottomLeft" activeCell="I57" sqref="I57"/>
    </sheetView>
  </sheetViews>
  <sheetFormatPr defaultColWidth="9.109375" defaultRowHeight="13.2"/>
  <cols>
    <col min="1" max="1" width="7.6640625" style="1268" customWidth="1"/>
    <col min="2" max="2" width="36.6640625" style="1268" customWidth="1"/>
    <col min="3" max="3" width="9.33203125" style="1268" customWidth="1"/>
    <col min="4" max="4" width="10.6640625" style="1268" customWidth="1"/>
    <col min="5" max="5" width="12.44140625" style="1268" customWidth="1"/>
    <col min="6" max="6" width="13.6640625" style="1268" customWidth="1"/>
    <col min="7" max="16384" width="9.109375" style="1268"/>
  </cols>
  <sheetData>
    <row r="1" spans="1:6" s="1911" customFormat="1" ht="15" customHeight="1">
      <c r="A1" s="1911" t="str">
        <f>+'5700'!A1</f>
        <v>GREATER LETABA MUNICIPALITY</v>
      </c>
    </row>
    <row r="2" spans="1:6" s="1911" customFormat="1" ht="18.600000000000001" customHeight="1">
      <c r="A2" s="2235" t="str">
        <f>+'5700'!A2</f>
        <v>CONTRACT NUMBER: GLM015/2025</v>
      </c>
      <c r="B2" s="2235"/>
    </row>
    <row r="3" spans="1:6" s="1911" customFormat="1" ht="15" customHeight="1">
      <c r="A3" s="1911" t="s">
        <v>1439</v>
      </c>
    </row>
    <row r="4" spans="1:6" s="1911" customFormat="1">
      <c r="A4" s="1911" t="s">
        <v>1744</v>
      </c>
    </row>
    <row r="5" spans="1:6" s="1911" customFormat="1">
      <c r="A5" s="1911" t="s">
        <v>1745</v>
      </c>
    </row>
    <row r="6" spans="1:6" s="1911" customFormat="1" ht="5.0999999999999996" customHeight="1"/>
    <row r="7" spans="1:6" s="1911" customFormat="1">
      <c r="A7" s="1659"/>
      <c r="B7" s="1659"/>
      <c r="C7" s="1659"/>
      <c r="D7" s="2234"/>
      <c r="E7" s="2234"/>
      <c r="F7" s="2234"/>
    </row>
    <row r="8" spans="1:6" s="1911" customFormat="1" ht="15" customHeight="1">
      <c r="A8" s="1659" t="s">
        <v>0</v>
      </c>
      <c r="B8" s="1659" t="s">
        <v>2</v>
      </c>
      <c r="C8" s="1659" t="s">
        <v>3</v>
      </c>
      <c r="D8" s="1659" t="s">
        <v>4</v>
      </c>
      <c r="E8" s="1659" t="s">
        <v>5</v>
      </c>
      <c r="F8" s="1659" t="s">
        <v>6</v>
      </c>
    </row>
    <row r="9" spans="1:6" s="1912" customFormat="1">
      <c r="A9" s="1655"/>
      <c r="B9" s="1655"/>
      <c r="C9" s="1655"/>
      <c r="D9" s="1655"/>
      <c r="E9" s="1655"/>
      <c r="F9" s="1655"/>
    </row>
    <row r="10" spans="1:6" s="1912" customFormat="1">
      <c r="A10" s="1680"/>
      <c r="B10" s="1655"/>
      <c r="C10" s="1655"/>
      <c r="D10" s="1655"/>
      <c r="E10" s="1655"/>
      <c r="F10" s="1655"/>
    </row>
    <row r="11" spans="1:6" s="1912" customFormat="1">
      <c r="A11" s="1680">
        <v>59.01</v>
      </c>
      <c r="B11" s="1655" t="s">
        <v>1746</v>
      </c>
      <c r="C11" s="1655"/>
      <c r="D11" s="1655"/>
      <c r="E11" s="1655"/>
      <c r="F11" s="1655"/>
    </row>
    <row r="12" spans="1:6" s="1912" customFormat="1">
      <c r="A12" s="1680"/>
      <c r="B12" s="1655"/>
      <c r="C12" s="1655"/>
      <c r="D12" s="1655"/>
      <c r="E12" s="1655"/>
      <c r="F12" s="1655"/>
    </row>
    <row r="13" spans="1:6" s="1912" customFormat="1">
      <c r="A13" s="1680"/>
      <c r="B13" s="1655" t="s">
        <v>1747</v>
      </c>
      <c r="C13" s="1680" t="s">
        <v>1395</v>
      </c>
      <c r="D13" s="1680">
        <v>1.51</v>
      </c>
      <c r="E13" s="1680"/>
      <c r="F13" s="1925"/>
    </row>
    <row r="14" spans="1:6" s="1912" customFormat="1">
      <c r="A14" s="1680"/>
      <c r="B14" s="1655"/>
      <c r="C14" s="1680"/>
      <c r="D14" s="1680"/>
      <c r="E14" s="1680"/>
      <c r="F14" s="1680"/>
    </row>
    <row r="15" spans="1:6" s="1912" customFormat="1">
      <c r="A15" s="1680"/>
      <c r="B15" s="1655"/>
      <c r="C15" s="1680"/>
      <c r="D15" s="1680"/>
      <c r="E15" s="1680"/>
      <c r="F15" s="1680"/>
    </row>
    <row r="16" spans="1:6" s="1912" customFormat="1">
      <c r="A16" s="1680"/>
      <c r="B16" s="1655"/>
      <c r="C16" s="1680"/>
      <c r="D16" s="1680"/>
      <c r="E16" s="1680"/>
      <c r="F16" s="1680"/>
    </row>
    <row r="17" spans="1:6" s="1912" customFormat="1">
      <c r="A17" s="1680"/>
      <c r="B17" s="1655"/>
      <c r="C17" s="1655"/>
      <c r="D17" s="1655"/>
      <c r="E17" s="1655"/>
      <c r="F17" s="1655"/>
    </row>
    <row r="18" spans="1:6" s="1912" customFormat="1">
      <c r="A18" s="1680"/>
      <c r="B18" s="1655"/>
      <c r="C18" s="1655"/>
      <c r="D18" s="1655"/>
      <c r="E18" s="1655"/>
      <c r="F18" s="1655"/>
    </row>
    <row r="19" spans="1:6" s="1912" customFormat="1">
      <c r="A19" s="1680"/>
      <c r="B19" s="1655"/>
      <c r="C19" s="1655"/>
      <c r="D19" s="1655"/>
      <c r="E19" s="1655"/>
      <c r="F19" s="1655"/>
    </row>
    <row r="20" spans="1:6" s="1912" customFormat="1">
      <c r="A20" s="1680" t="s">
        <v>9</v>
      </c>
      <c r="B20" s="1655" t="s">
        <v>9</v>
      </c>
      <c r="C20" s="1655" t="s">
        <v>9</v>
      </c>
      <c r="D20" s="1655"/>
      <c r="E20" s="1655"/>
      <c r="F20" s="1655"/>
    </row>
    <row r="21" spans="1:6" s="1912" customFormat="1">
      <c r="A21" s="1680"/>
      <c r="B21" s="1655" t="s">
        <v>9</v>
      </c>
      <c r="C21" s="1655"/>
      <c r="D21" s="1655"/>
      <c r="E21" s="1655"/>
      <c r="F21" s="1655"/>
    </row>
    <row r="22" spans="1:6" s="1912" customFormat="1">
      <c r="A22" s="1680"/>
      <c r="B22" s="1655" t="s">
        <v>9</v>
      </c>
      <c r="C22" s="1655"/>
      <c r="D22" s="1655"/>
      <c r="E22" s="1655"/>
      <c r="F22" s="1655"/>
    </row>
    <row r="23" spans="1:6" s="1912" customFormat="1">
      <c r="A23" s="1680"/>
      <c r="B23" s="1655" t="s">
        <v>9</v>
      </c>
      <c r="C23" s="1655"/>
      <c r="D23" s="1655"/>
      <c r="E23" s="1655"/>
      <c r="F23" s="1655"/>
    </row>
    <row r="24" spans="1:6" s="1912" customFormat="1">
      <c r="A24" s="1680"/>
      <c r="B24" s="1655"/>
      <c r="C24" s="1655"/>
      <c r="D24" s="1655"/>
      <c r="E24" s="1655"/>
      <c r="F24" s="1655"/>
    </row>
    <row r="25" spans="1:6" s="1912" customFormat="1">
      <c r="A25" s="1680"/>
      <c r="B25" s="1655"/>
      <c r="C25" s="1655"/>
      <c r="D25" s="1655"/>
      <c r="E25" s="1655"/>
      <c r="F25" s="1655"/>
    </row>
    <row r="26" spans="1:6" s="1912" customFormat="1">
      <c r="A26" s="1680"/>
      <c r="B26" s="1655"/>
      <c r="C26" s="1655"/>
      <c r="D26" s="1655"/>
      <c r="E26" s="1655"/>
      <c r="F26" s="1655"/>
    </row>
    <row r="27" spans="1:6" s="1912" customFormat="1">
      <c r="A27" s="1680"/>
      <c r="B27" s="1655"/>
      <c r="C27" s="1655"/>
      <c r="D27" s="1655"/>
      <c r="E27" s="1655"/>
      <c r="F27" s="1655"/>
    </row>
    <row r="28" spans="1:6" s="1912" customFormat="1">
      <c r="A28" s="1680"/>
      <c r="B28" s="1655"/>
      <c r="C28" s="1655"/>
      <c r="D28" s="1655"/>
      <c r="E28" s="1655"/>
      <c r="F28" s="1655"/>
    </row>
    <row r="29" spans="1:6" s="1912" customFormat="1">
      <c r="A29" s="1680"/>
      <c r="B29" s="1655"/>
      <c r="C29" s="1655"/>
      <c r="D29" s="1655"/>
      <c r="E29" s="1655"/>
      <c r="F29" s="1655"/>
    </row>
    <row r="30" spans="1:6" s="1912" customFormat="1">
      <c r="A30" s="1680"/>
      <c r="B30" s="1655"/>
      <c r="C30" s="1655"/>
      <c r="D30" s="1655"/>
      <c r="E30" s="1655"/>
      <c r="F30" s="1655"/>
    </row>
    <row r="31" spans="1:6" s="1912" customFormat="1">
      <c r="A31" s="1680"/>
      <c r="B31" s="1655"/>
      <c r="C31" s="1655"/>
      <c r="D31" s="1655"/>
      <c r="E31" s="1655"/>
      <c r="F31" s="1655"/>
    </row>
    <row r="32" spans="1:6" s="1912" customFormat="1">
      <c r="A32" s="1680"/>
      <c r="B32" s="1655"/>
      <c r="C32" s="1655"/>
      <c r="D32" s="1655"/>
      <c r="E32" s="1655"/>
      <c r="F32" s="1655"/>
    </row>
    <row r="33" spans="1:6" s="1912" customFormat="1">
      <c r="A33" s="1680"/>
      <c r="B33" s="1655"/>
      <c r="C33" s="1655"/>
      <c r="D33" s="1655"/>
      <c r="E33" s="1655"/>
      <c r="F33" s="1655"/>
    </row>
    <row r="34" spans="1:6" s="1912" customFormat="1">
      <c r="A34" s="1680"/>
      <c r="B34" s="1655"/>
      <c r="C34" s="1655"/>
      <c r="D34" s="1655"/>
      <c r="E34" s="1655"/>
      <c r="F34" s="1655"/>
    </row>
    <row r="35" spans="1:6" s="1912" customFormat="1">
      <c r="A35" s="1680"/>
      <c r="B35" s="1655"/>
      <c r="C35" s="1655"/>
      <c r="D35" s="1655"/>
      <c r="E35" s="1655"/>
      <c r="F35" s="1655"/>
    </row>
    <row r="36" spans="1:6" s="1912" customFormat="1">
      <c r="A36" s="1680"/>
      <c r="B36" s="1655"/>
      <c r="C36" s="1655"/>
      <c r="D36" s="1655"/>
      <c r="E36" s="1655"/>
      <c r="F36" s="1655"/>
    </row>
    <row r="37" spans="1:6" s="1912" customFormat="1">
      <c r="A37" s="1680"/>
      <c r="B37" s="1655"/>
      <c r="C37" s="1655"/>
      <c r="D37" s="1655"/>
      <c r="E37" s="1655"/>
      <c r="F37" s="1655"/>
    </row>
    <row r="38" spans="1:6" s="1912" customFormat="1">
      <c r="A38" s="1680"/>
      <c r="B38" s="1655"/>
      <c r="C38" s="1655"/>
      <c r="D38" s="1655"/>
      <c r="E38" s="1655"/>
      <c r="F38" s="1655"/>
    </row>
    <row r="39" spans="1:6" s="1912" customFormat="1">
      <c r="A39" s="1680"/>
      <c r="B39" s="1655"/>
      <c r="C39" s="1655"/>
      <c r="D39" s="1655"/>
      <c r="E39" s="1655"/>
      <c r="F39" s="1655"/>
    </row>
    <row r="40" spans="1:6" s="1912" customFormat="1">
      <c r="A40" s="1680"/>
      <c r="B40" s="1655"/>
      <c r="C40" s="1655"/>
      <c r="D40" s="1655"/>
      <c r="E40" s="1655"/>
      <c r="F40" s="1655"/>
    </row>
    <row r="41" spans="1:6" s="1912" customFormat="1">
      <c r="A41" s="1680"/>
      <c r="B41" s="1655"/>
      <c r="C41" s="1655"/>
      <c r="D41" s="1655"/>
      <c r="E41" s="1655"/>
      <c r="F41" s="1655"/>
    </row>
    <row r="42" spans="1:6" s="1912" customFormat="1">
      <c r="A42" s="1680"/>
      <c r="B42" s="1655"/>
      <c r="C42" s="1655"/>
      <c r="D42" s="1655"/>
      <c r="E42" s="1655"/>
      <c r="F42" s="1655"/>
    </row>
    <row r="43" spans="1:6" s="1912" customFormat="1">
      <c r="A43" s="1680"/>
      <c r="B43" s="1655"/>
      <c r="C43" s="1655"/>
      <c r="D43" s="1655"/>
      <c r="E43" s="1655"/>
      <c r="F43" s="1655"/>
    </row>
    <row r="44" spans="1:6" s="1912" customFormat="1">
      <c r="A44" s="1680"/>
      <c r="B44" s="1655"/>
      <c r="C44" s="1655"/>
      <c r="D44" s="1655"/>
      <c r="E44" s="1655"/>
      <c r="F44" s="1655"/>
    </row>
    <row r="45" spans="1:6" s="1912" customFormat="1">
      <c r="A45" s="1680"/>
      <c r="B45" s="1655"/>
      <c r="C45" s="1655"/>
      <c r="D45" s="1655"/>
      <c r="E45" s="1655"/>
      <c r="F45" s="1655"/>
    </row>
    <row r="46" spans="1:6" s="1912" customFormat="1">
      <c r="A46" s="1680"/>
      <c r="B46" s="1655"/>
      <c r="C46" s="1655"/>
      <c r="D46" s="1655"/>
      <c r="E46" s="1655"/>
      <c r="F46" s="1655"/>
    </row>
    <row r="47" spans="1:6" s="1912" customFormat="1">
      <c r="A47" s="1680"/>
      <c r="B47" s="1655"/>
      <c r="C47" s="1655"/>
      <c r="D47" s="1655"/>
      <c r="E47" s="1655"/>
      <c r="F47" s="1655"/>
    </row>
    <row r="48" spans="1:6" s="1912" customFormat="1">
      <c r="A48" s="1680"/>
      <c r="B48" s="1655"/>
      <c r="C48" s="1655"/>
      <c r="D48" s="1655"/>
      <c r="E48" s="1655"/>
      <c r="F48" s="1655"/>
    </row>
    <row r="49" spans="1:6" s="1912" customFormat="1">
      <c r="A49" s="1680"/>
      <c r="B49" s="1655"/>
      <c r="C49" s="1655"/>
      <c r="D49" s="1655"/>
      <c r="E49" s="1655"/>
      <c r="F49" s="1655"/>
    </row>
    <row r="50" spans="1:6" s="1912" customFormat="1">
      <c r="A50" s="1680"/>
      <c r="B50" s="1655"/>
      <c r="C50" s="1655"/>
      <c r="D50" s="1655"/>
      <c r="E50" s="1655"/>
      <c r="F50" s="1655"/>
    </row>
    <row r="51" spans="1:6" s="1912" customFormat="1">
      <c r="A51" s="1680"/>
      <c r="B51" s="1655"/>
      <c r="C51" s="1655"/>
      <c r="D51" s="1655"/>
      <c r="E51" s="1655"/>
      <c r="F51" s="1655"/>
    </row>
    <row r="52" spans="1:6" s="1912" customFormat="1">
      <c r="A52" s="1680"/>
      <c r="B52" s="1655"/>
      <c r="C52" s="1655"/>
      <c r="D52" s="1655"/>
      <c r="E52" s="1655"/>
      <c r="F52" s="1655"/>
    </row>
    <row r="53" spans="1:6" s="1912" customFormat="1">
      <c r="A53" s="1680"/>
      <c r="B53" s="1655"/>
      <c r="C53" s="1655"/>
      <c r="D53" s="1655"/>
      <c r="E53" s="1655"/>
      <c r="F53" s="1655"/>
    </row>
    <row r="54" spans="1:6" s="1912" customFormat="1">
      <c r="A54" s="1680"/>
      <c r="B54" s="1655"/>
      <c r="C54" s="1655"/>
      <c r="D54" s="1655"/>
      <c r="E54" s="1655"/>
      <c r="F54" s="1655"/>
    </row>
    <row r="55" spans="1:6" s="1911" customFormat="1" ht="15" customHeight="1">
      <c r="A55" s="1926" t="s">
        <v>1748</v>
      </c>
      <c r="B55" s="1659" t="s">
        <v>1417</v>
      </c>
      <c r="C55" s="1659"/>
      <c r="D55" s="1659"/>
      <c r="E55" s="1659"/>
      <c r="F55" s="1927"/>
    </row>
    <row r="56" spans="1:6" s="1912" customFormat="1">
      <c r="A56" s="1928"/>
      <c r="C56" s="1924"/>
    </row>
    <row r="57" spans="1:6">
      <c r="A57" s="1661"/>
    </row>
  </sheetData>
  <mergeCells count="2">
    <mergeCell ref="D7:F7"/>
    <mergeCell ref="A2:B2"/>
  </mergeCells>
  <pageMargins left="0.94488188976377963" right="0.35433070866141736" top="0.78740157480314965" bottom="0.78740157480314965" header="0.51181102362204722" footer="0.51181102362204722"/>
  <pageSetup paperSize="9" scale="95" orientation="portrait" r:id="rId1"/>
  <headerFooter alignWithMargins="0">
    <oddHeader>&amp;CC80.32</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topLeftCell="A31" zoomScale="110" zoomScaleNormal="100" zoomScaleSheetLayoutView="110" workbookViewId="0">
      <selection activeCell="J43" sqref="J43"/>
    </sheetView>
  </sheetViews>
  <sheetFormatPr defaultColWidth="9.109375" defaultRowHeight="13.2"/>
  <cols>
    <col min="1" max="1" width="9.109375" style="1268"/>
    <col min="2" max="2" width="37.6640625" style="1268" customWidth="1"/>
    <col min="3" max="3" width="9.6640625" style="1268" customWidth="1"/>
    <col min="4" max="4" width="11.33203125" style="1268" customWidth="1"/>
    <col min="5" max="5" width="12.5546875" style="1268" customWidth="1"/>
    <col min="6" max="6" width="19.6640625" style="1268" customWidth="1"/>
    <col min="7" max="7" width="14.33203125" style="1268" bestFit="1" customWidth="1"/>
    <col min="8" max="8" width="12.88671875" style="1268" bestFit="1" customWidth="1"/>
    <col min="9" max="16384" width="9.109375" style="1268"/>
  </cols>
  <sheetData>
    <row r="1" spans="1:7">
      <c r="A1" s="2032" t="str">
        <f>+'5900'!A1</f>
        <v>GREATER LETABA MUNICIPALITY</v>
      </c>
      <c r="B1" s="1338"/>
    </row>
    <row r="2" spans="1:7">
      <c r="A2" s="2208" t="str">
        <f>+'5900'!A2:B2</f>
        <v>CONTRACT NUMBER: GLM015/2025</v>
      </c>
      <c r="B2" s="2224"/>
    </row>
    <row r="3" spans="1:7">
      <c r="A3" s="1929" t="s">
        <v>1618</v>
      </c>
      <c r="B3" s="1930"/>
      <c r="C3" s="1931"/>
      <c r="D3" s="1931"/>
      <c r="E3" s="1628"/>
    </row>
    <row r="4" spans="1:7">
      <c r="A4" s="2236" t="s">
        <v>1749</v>
      </c>
      <c r="B4" s="2236"/>
      <c r="C4" s="1931"/>
      <c r="D4" s="1931"/>
      <c r="E4" s="1628"/>
      <c r="F4" s="1932"/>
    </row>
    <row r="5" spans="1:7" ht="13.5" customHeight="1">
      <c r="A5" s="2237" t="s">
        <v>1750</v>
      </c>
      <c r="B5" s="2237"/>
      <c r="C5" s="2036"/>
      <c r="D5" s="2036"/>
      <c r="E5" s="2036"/>
      <c r="F5" s="2036"/>
    </row>
    <row r="6" spans="1:7">
      <c r="A6" s="1933" t="s">
        <v>1619</v>
      </c>
      <c r="B6" s="1934" t="s">
        <v>2</v>
      </c>
      <c r="C6" s="1934" t="s">
        <v>3</v>
      </c>
      <c r="D6" s="1934" t="s">
        <v>4</v>
      </c>
      <c r="E6" s="1934" t="s">
        <v>5</v>
      </c>
      <c r="F6" s="1934" t="s">
        <v>6</v>
      </c>
    </row>
    <row r="7" spans="1:7">
      <c r="A7" s="1935"/>
      <c r="B7" s="1936"/>
      <c r="C7" s="1937"/>
      <c r="D7" s="1937"/>
      <c r="E7" s="1938"/>
      <c r="F7" s="1939"/>
    </row>
    <row r="8" spans="1:7" ht="23.25" customHeight="1">
      <c r="A8" s="1940">
        <v>7300</v>
      </c>
      <c r="B8" s="1941" t="s">
        <v>1750</v>
      </c>
      <c r="C8" s="1942"/>
      <c r="D8" s="1943"/>
      <c r="E8" s="1944"/>
      <c r="F8" s="1945"/>
    </row>
    <row r="9" spans="1:7" ht="13.8">
      <c r="A9" s="1946"/>
      <c r="B9" s="1947"/>
      <c r="C9" s="1942"/>
      <c r="D9" s="1943"/>
      <c r="E9" s="1944"/>
      <c r="F9" s="1945"/>
    </row>
    <row r="10" spans="1:7" ht="24" customHeight="1">
      <c r="A10" s="1940">
        <v>73.010000000000005</v>
      </c>
      <c r="B10" s="1948" t="s">
        <v>1751</v>
      </c>
      <c r="C10" s="1949"/>
      <c r="D10" s="1943"/>
      <c r="E10" s="1944"/>
      <c r="F10" s="1943"/>
    </row>
    <row r="11" spans="1:7" ht="16.5" customHeight="1">
      <c r="A11" s="1940"/>
      <c r="B11" s="1950"/>
      <c r="C11" s="1951"/>
      <c r="D11" s="1943"/>
      <c r="E11" s="1944"/>
      <c r="F11" s="1943"/>
    </row>
    <row r="12" spans="1:7" ht="27.6">
      <c r="A12" s="1946" t="s">
        <v>1015</v>
      </c>
      <c r="B12" s="1952" t="s">
        <v>1752</v>
      </c>
      <c r="C12" s="1953"/>
      <c r="D12" s="1954"/>
      <c r="E12" s="1955"/>
      <c r="F12" s="1954"/>
    </row>
    <row r="13" spans="1:7" ht="27.6">
      <c r="A13" s="1946"/>
      <c r="B13" s="1952" t="s">
        <v>1753</v>
      </c>
      <c r="C13" s="1956" t="s">
        <v>1754</v>
      </c>
      <c r="D13" s="1957">
        <f>1302*9*1.1</f>
        <v>12889.800000000001</v>
      </c>
      <c r="E13" s="1958"/>
      <c r="F13" s="1959"/>
      <c r="G13" s="1960"/>
    </row>
    <row r="14" spans="1:7" ht="27.6">
      <c r="A14" s="1946"/>
      <c r="B14" s="1952" t="s">
        <v>1755</v>
      </c>
      <c r="C14" s="1947"/>
      <c r="D14" s="1957"/>
      <c r="E14" s="1961"/>
      <c r="F14" s="1959"/>
    </row>
    <row r="15" spans="1:7" ht="27.6">
      <c r="A15" s="1946"/>
      <c r="B15" s="1952" t="s">
        <v>1756</v>
      </c>
      <c r="C15" s="1947"/>
      <c r="D15" s="1957"/>
      <c r="E15" s="1961"/>
      <c r="F15" s="1959"/>
    </row>
    <row r="16" spans="1:7" ht="13.8">
      <c r="A16" s="1946"/>
      <c r="B16" s="1962"/>
      <c r="C16" s="1947"/>
      <c r="D16" s="1957"/>
      <c r="E16" s="1961"/>
      <c r="F16" s="1959"/>
    </row>
    <row r="17" spans="1:6" ht="27.6">
      <c r="A17" s="1963">
        <v>73.03</v>
      </c>
      <c r="B17" s="1964" t="s">
        <v>1757</v>
      </c>
      <c r="C17" s="1947" t="s">
        <v>460</v>
      </c>
      <c r="D17" s="1957">
        <v>1</v>
      </c>
      <c r="E17" s="1961"/>
      <c r="F17" s="1959"/>
    </row>
    <row r="18" spans="1:6" ht="13.8">
      <c r="A18" s="1965"/>
      <c r="B18" s="1966" t="s">
        <v>1758</v>
      </c>
      <c r="C18" s="1947"/>
      <c r="D18" s="1957"/>
      <c r="E18" s="1961"/>
      <c r="F18" s="1959"/>
    </row>
    <row r="19" spans="1:6" ht="13.8">
      <c r="A19" s="1965"/>
      <c r="B19" s="1962"/>
      <c r="C19" s="1947"/>
      <c r="D19" s="1967"/>
      <c r="E19" s="1961"/>
      <c r="F19" s="1959"/>
    </row>
    <row r="20" spans="1:6" ht="27.6">
      <c r="A20" s="1965"/>
      <c r="B20" s="1966" t="s">
        <v>1759</v>
      </c>
      <c r="C20" s="1947" t="s">
        <v>55</v>
      </c>
      <c r="D20" s="1967">
        <f>+E17</f>
        <v>0</v>
      </c>
      <c r="E20" s="1961"/>
      <c r="F20" s="1959"/>
    </row>
    <row r="21" spans="1:6" ht="13.8">
      <c r="A21" s="1965"/>
      <c r="B21" s="1966"/>
      <c r="C21" s="1968"/>
      <c r="D21" s="1969"/>
      <c r="E21" s="1959"/>
      <c r="F21" s="1959"/>
    </row>
    <row r="22" spans="1:6">
      <c r="A22" s="1965"/>
      <c r="B22" s="1970"/>
      <c r="C22" s="1971"/>
      <c r="D22" s="1752"/>
      <c r="E22" s="1972"/>
      <c r="F22" s="1959"/>
    </row>
    <row r="23" spans="1:6" ht="22.8">
      <c r="A23" s="1965" t="s">
        <v>1015</v>
      </c>
      <c r="B23" s="1973" t="s">
        <v>1760</v>
      </c>
      <c r="C23" s="1971" t="s">
        <v>148</v>
      </c>
      <c r="D23" s="1742">
        <v>4</v>
      </c>
      <c r="E23" s="1974"/>
      <c r="F23" s="1975"/>
    </row>
    <row r="24" spans="1:6">
      <c r="A24" s="1965"/>
      <c r="B24" s="1976"/>
      <c r="C24" s="1971"/>
      <c r="D24" s="1752"/>
      <c r="E24" s="1972"/>
      <c r="F24" s="1959"/>
    </row>
    <row r="25" spans="1:6">
      <c r="A25" s="1965"/>
      <c r="B25" s="1976"/>
      <c r="C25" s="1971"/>
      <c r="D25" s="1786"/>
      <c r="E25" s="1974"/>
      <c r="F25" s="1959"/>
    </row>
    <row r="26" spans="1:6">
      <c r="A26" s="1965"/>
      <c r="B26" s="1976"/>
      <c r="C26" s="1971"/>
      <c r="D26" s="1760"/>
      <c r="E26" s="1752"/>
      <c r="F26" s="1743"/>
    </row>
    <row r="27" spans="1:6">
      <c r="A27" s="1965"/>
      <c r="B27" s="1976"/>
      <c r="C27" s="1971"/>
      <c r="D27" s="1760"/>
      <c r="E27" s="1752"/>
      <c r="F27" s="1743"/>
    </row>
    <row r="28" spans="1:6">
      <c r="A28" s="1965"/>
      <c r="B28" s="1976"/>
      <c r="C28" s="1971"/>
      <c r="D28" s="1760"/>
      <c r="E28" s="1752"/>
      <c r="F28" s="1743"/>
    </row>
    <row r="29" spans="1:6">
      <c r="A29" s="1965"/>
      <c r="B29" s="1976"/>
      <c r="C29" s="1971"/>
      <c r="D29" s="1760"/>
      <c r="E29" s="1752"/>
      <c r="F29" s="1743"/>
    </row>
    <row r="30" spans="1:6">
      <c r="A30" s="1965"/>
      <c r="B30" s="1976"/>
      <c r="C30" s="1971"/>
      <c r="D30" s="1760"/>
      <c r="E30" s="1752"/>
      <c r="F30" s="1743"/>
    </row>
    <row r="31" spans="1:6">
      <c r="A31" s="1965"/>
      <c r="B31" s="1976"/>
      <c r="C31" s="1971"/>
      <c r="D31" s="1760"/>
      <c r="E31" s="1752"/>
      <c r="F31" s="1743"/>
    </row>
    <row r="32" spans="1:6">
      <c r="A32" s="1965"/>
      <c r="B32" s="1976"/>
      <c r="C32" s="1971"/>
      <c r="D32" s="1760"/>
      <c r="E32" s="1752"/>
      <c r="F32" s="1743"/>
    </row>
    <row r="33" spans="1:6">
      <c r="A33" s="1965"/>
      <c r="B33" s="1758"/>
      <c r="C33" s="1971"/>
      <c r="D33" s="1760"/>
      <c r="E33" s="1752"/>
      <c r="F33" s="1743"/>
    </row>
    <row r="34" spans="1:6">
      <c r="A34" s="1965"/>
      <c r="B34" s="1758"/>
      <c r="C34" s="1971"/>
      <c r="D34" s="1760"/>
      <c r="E34" s="1752"/>
      <c r="F34" s="1743"/>
    </row>
    <row r="35" spans="1:6">
      <c r="A35" s="1965"/>
      <c r="B35" s="1758"/>
      <c r="C35" s="1971"/>
      <c r="D35" s="1760"/>
      <c r="E35" s="1752"/>
      <c r="F35" s="1743"/>
    </row>
    <row r="36" spans="1:6">
      <c r="A36" s="1965"/>
      <c r="B36" s="1758"/>
      <c r="C36" s="1971"/>
      <c r="D36" s="1760"/>
      <c r="E36" s="1752"/>
      <c r="F36" s="1743"/>
    </row>
    <row r="37" spans="1:6">
      <c r="A37" s="1965"/>
      <c r="B37" s="1758"/>
      <c r="C37" s="1971"/>
      <c r="D37" s="1760"/>
      <c r="E37" s="1752"/>
      <c r="F37" s="1743"/>
    </row>
    <row r="38" spans="1:6">
      <c r="A38" s="1965"/>
      <c r="B38" s="1758"/>
      <c r="C38" s="1971"/>
      <c r="D38" s="1760"/>
      <c r="E38" s="1752"/>
      <c r="F38" s="1743"/>
    </row>
    <row r="39" spans="1:6">
      <c r="A39" s="1965"/>
      <c r="B39" s="1758"/>
      <c r="C39" s="1971"/>
      <c r="D39" s="1760"/>
      <c r="E39" s="1752"/>
      <c r="F39" s="1743"/>
    </row>
    <row r="40" spans="1:6">
      <c r="A40" s="1965"/>
      <c r="B40" s="1758"/>
      <c r="C40" s="1971"/>
      <c r="D40" s="1760"/>
      <c r="E40" s="1752"/>
      <c r="F40" s="1743"/>
    </row>
    <row r="41" spans="1:6">
      <c r="A41" s="1965"/>
      <c r="B41" s="1758"/>
      <c r="C41" s="1971"/>
      <c r="D41" s="1760"/>
      <c r="E41" s="1752"/>
      <c r="F41" s="1743"/>
    </row>
    <row r="42" spans="1:6">
      <c r="A42" s="1965"/>
      <c r="B42" s="1758"/>
      <c r="C42" s="1971"/>
      <c r="D42" s="1760"/>
      <c r="E42" s="1752"/>
      <c r="F42" s="1743"/>
    </row>
    <row r="43" spans="1:6">
      <c r="A43" s="1965"/>
      <c r="B43" s="1977"/>
      <c r="C43" s="1969"/>
      <c r="D43" s="1969"/>
      <c r="E43" s="1969"/>
      <c r="F43" s="1743"/>
    </row>
    <row r="44" spans="1:6">
      <c r="A44" s="1978"/>
      <c r="B44" s="1465"/>
      <c r="C44" s="1971"/>
      <c r="D44" s="1971"/>
      <c r="E44" s="1752"/>
      <c r="F44" s="1743"/>
    </row>
    <row r="45" spans="1:6">
      <c r="A45" s="1969"/>
      <c r="B45" s="1979"/>
      <c r="C45" s="1943"/>
      <c r="D45" s="1943"/>
      <c r="E45" s="1765"/>
      <c r="F45" s="1980"/>
    </row>
    <row r="46" spans="1:6">
      <c r="A46" s="1981"/>
      <c r="B46" s="1982"/>
      <c r="C46" s="1943"/>
      <c r="D46" s="1943"/>
      <c r="E46" s="1765"/>
      <c r="F46" s="1980"/>
    </row>
    <row r="47" spans="1:6">
      <c r="A47" s="1981"/>
      <c r="B47" s="1982"/>
      <c r="C47" s="1943"/>
      <c r="D47" s="1943"/>
      <c r="E47" s="1765"/>
      <c r="F47" s="1980"/>
    </row>
    <row r="48" spans="1:6">
      <c r="A48" s="1981"/>
      <c r="B48" s="1982"/>
      <c r="C48" s="1943"/>
      <c r="D48" s="1943"/>
      <c r="E48" s="1765"/>
      <c r="F48" s="1980"/>
    </row>
    <row r="49" spans="1:8">
      <c r="A49" s="1981"/>
      <c r="B49" s="1982"/>
      <c r="C49" s="1943"/>
      <c r="D49" s="1943"/>
      <c r="E49" s="1765"/>
      <c r="F49" s="1980"/>
    </row>
    <row r="50" spans="1:8">
      <c r="A50" s="1981"/>
      <c r="B50" s="1982"/>
      <c r="C50" s="1943"/>
      <c r="D50" s="1943"/>
      <c r="E50" s="1765"/>
      <c r="F50" s="1980"/>
    </row>
    <row r="51" spans="1:8">
      <c r="A51" s="1983"/>
      <c r="B51" s="1984"/>
      <c r="C51" s="1985"/>
      <c r="D51" s="1985"/>
      <c r="E51" s="1773"/>
      <c r="F51" s="1986"/>
    </row>
    <row r="52" spans="1:8">
      <c r="A52" s="1987"/>
      <c r="B52" s="1988" t="s">
        <v>1625</v>
      </c>
      <c r="C52" s="1988"/>
      <c r="D52" s="1989"/>
      <c r="E52" s="1990"/>
      <c r="F52" s="1991"/>
      <c r="G52" s="1992"/>
      <c r="H52" s="1993"/>
    </row>
    <row r="53" spans="1:8">
      <c r="C53" s="1335"/>
    </row>
  </sheetData>
  <mergeCells count="3">
    <mergeCell ref="A2:B2"/>
    <mergeCell ref="A4:B4"/>
    <mergeCell ref="A5:B5"/>
  </mergeCells>
  <pageMargins left="0.70866141732283472" right="0.70866141732283472" top="0.74803149606299213" bottom="0.74803149606299213" header="0.31496062992125984" footer="0.31496062992125984"/>
  <pageSetup paperSize="9" scale="87" orientation="portrait" r:id="rId1"/>
  <headerFooter>
    <oddHeader>&amp;CC80.33</oddHeader>
  </headerFooter>
  <colBreaks count="1" manualBreakCount="1">
    <brk id="6" min="2" max="53"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view="pageBreakPreview" zoomScale="90" zoomScaleNormal="100" zoomScaleSheetLayoutView="90" workbookViewId="0">
      <pane ySplit="8" topLeftCell="A9" activePane="bottomLeft" state="frozen"/>
      <selection activeCell="H47" sqref="H47"/>
      <selection pane="bottomLeft" activeCell="O20" sqref="O20"/>
    </sheetView>
  </sheetViews>
  <sheetFormatPr defaultColWidth="9.109375" defaultRowHeight="11.4"/>
  <cols>
    <col min="1" max="1" width="7.6640625" style="1998" customWidth="1"/>
    <col min="2" max="2" width="36.6640625" style="1999" customWidth="1"/>
    <col min="3" max="3" width="9.33203125" style="1998" customWidth="1"/>
    <col min="4" max="4" width="12.21875" style="1998" customWidth="1"/>
    <col min="5" max="5" width="14.88671875" style="2000" customWidth="1"/>
    <col min="6" max="6" width="16.109375" style="2001" customWidth="1"/>
    <col min="7" max="16384" width="9.109375" style="1998"/>
  </cols>
  <sheetData>
    <row r="1" spans="1:6" s="1911" customFormat="1" ht="15" customHeight="1">
      <c r="A1" s="1911" t="str">
        <f>+'7300'!A1</f>
        <v>GREATER LETABA MUNICIPALITY</v>
      </c>
    </row>
    <row r="2" spans="1:6" s="1911" customFormat="1" ht="18" customHeight="1">
      <c r="A2" s="2235" t="str">
        <f>+'7300'!A2:B2</f>
        <v>CONTRACT NUMBER: GLM015/2025</v>
      </c>
      <c r="B2" s="2235"/>
    </row>
    <row r="3" spans="1:6" s="1911" customFormat="1" ht="15" customHeight="1">
      <c r="A3" s="1911" t="s">
        <v>1439</v>
      </c>
    </row>
    <row r="4" spans="1:6" s="1911" customFormat="1" ht="15" customHeight="1">
      <c r="A4" s="1911" t="s">
        <v>1761</v>
      </c>
    </row>
    <row r="5" spans="1:6" s="1911" customFormat="1" ht="15" customHeight="1">
      <c r="A5" s="1911" t="s">
        <v>202</v>
      </c>
    </row>
    <row r="6" spans="1:6" s="1911" customFormat="1" ht="5.0999999999999996" customHeight="1"/>
    <row r="7" spans="1:6" s="1911" customFormat="1" ht="13.2">
      <c r="A7" s="1994"/>
      <c r="B7" s="1994"/>
      <c r="C7" s="1994"/>
      <c r="D7" s="1994"/>
      <c r="E7" s="1994"/>
      <c r="F7" s="1994"/>
    </row>
    <row r="8" spans="1:6" s="1911" customFormat="1" ht="15" customHeight="1">
      <c r="A8" s="1995" t="s">
        <v>0</v>
      </c>
      <c r="B8" s="1995" t="s">
        <v>2</v>
      </c>
      <c r="C8" s="1995" t="s">
        <v>3</v>
      </c>
      <c r="D8" s="1995" t="s">
        <v>4</v>
      </c>
      <c r="E8" s="1995" t="s">
        <v>5</v>
      </c>
      <c r="F8" s="1995" t="s">
        <v>6</v>
      </c>
    </row>
    <row r="9" spans="1:6" s="1912" customFormat="1" ht="13.2">
      <c r="A9" s="1655"/>
      <c r="B9" s="1655"/>
      <c r="C9" s="1655"/>
      <c r="D9" s="1655"/>
      <c r="E9" s="1655"/>
      <c r="F9" s="1655"/>
    </row>
    <row r="10" spans="1:6" s="1912" customFormat="1" ht="13.2">
      <c r="A10" s="1655" t="s">
        <v>1762</v>
      </c>
      <c r="B10" s="1655" t="s">
        <v>1763</v>
      </c>
      <c r="C10" s="1655"/>
      <c r="D10" s="1655"/>
      <c r="E10" s="1655"/>
      <c r="F10" s="1655"/>
    </row>
    <row r="11" spans="1:6" s="1912" customFormat="1" ht="13.2">
      <c r="A11" s="1655"/>
      <c r="B11" s="1655" t="s">
        <v>1764</v>
      </c>
      <c r="C11" s="1655"/>
      <c r="D11" s="1655"/>
      <c r="E11" s="1655"/>
      <c r="F11" s="1655"/>
    </row>
    <row r="12" spans="1:6" s="1912" customFormat="1" ht="13.2">
      <c r="A12" s="1655"/>
      <c r="B12" s="1655"/>
      <c r="C12" s="1680"/>
      <c r="D12" s="1680"/>
      <c r="E12" s="1680"/>
      <c r="F12" s="1680"/>
    </row>
    <row r="13" spans="1:6" s="1912" customFormat="1" ht="13.2">
      <c r="A13" s="1655"/>
      <c r="B13" s="1655" t="s">
        <v>1765</v>
      </c>
      <c r="C13" s="1680" t="s">
        <v>1766</v>
      </c>
      <c r="D13" s="1680">
        <v>1</v>
      </c>
      <c r="E13" s="1680">
        <v>300000</v>
      </c>
      <c r="F13" s="1680">
        <f>+D13*E13</f>
        <v>300000</v>
      </c>
    </row>
    <row r="14" spans="1:6" s="1912" customFormat="1" ht="13.2">
      <c r="A14" s="1655"/>
      <c r="B14" s="1655"/>
      <c r="C14" s="1680"/>
      <c r="D14" s="1680"/>
      <c r="E14" s="1680"/>
      <c r="F14" s="1680"/>
    </row>
    <row r="15" spans="1:6" s="1912" customFormat="1" ht="13.2">
      <c r="A15" s="1655" t="s">
        <v>1791</v>
      </c>
      <c r="B15" s="1655" t="s">
        <v>1787</v>
      </c>
      <c r="C15" s="1680" t="s">
        <v>1766</v>
      </c>
      <c r="D15" s="1680">
        <v>1</v>
      </c>
      <c r="E15" s="1680">
        <f>70000*12</f>
        <v>840000</v>
      </c>
      <c r="F15" s="1680">
        <f>+D15*E15</f>
        <v>840000</v>
      </c>
    </row>
    <row r="16" spans="1:6" s="1912" customFormat="1" ht="13.2">
      <c r="A16" s="1655"/>
      <c r="B16" s="1655"/>
      <c r="C16" s="1680"/>
      <c r="D16" s="1680"/>
      <c r="E16" s="1680"/>
      <c r="F16" s="1680"/>
    </row>
    <row r="17" spans="1:6" s="1912" customFormat="1" ht="13.2">
      <c r="A17" s="1655"/>
      <c r="B17" s="1655" t="s">
        <v>1785</v>
      </c>
      <c r="C17" s="1680"/>
      <c r="D17" s="1680"/>
      <c r="E17" s="1680"/>
      <c r="F17" s="1680"/>
    </row>
    <row r="18" spans="1:6" s="1912" customFormat="1" ht="13.2">
      <c r="A18" s="1655"/>
      <c r="B18" s="1655" t="s">
        <v>1767</v>
      </c>
      <c r="C18" s="1680" t="s">
        <v>55</v>
      </c>
      <c r="D18" s="1680">
        <f>F13+F15</f>
        <v>1140000</v>
      </c>
      <c r="E18" s="1996"/>
      <c r="F18" s="1680"/>
    </row>
    <row r="19" spans="1:6" s="1912" customFormat="1" ht="13.2">
      <c r="A19" s="1655"/>
      <c r="B19" s="1655"/>
      <c r="C19" s="1680"/>
      <c r="D19" s="1680"/>
      <c r="E19" s="1680"/>
      <c r="F19" s="1680"/>
    </row>
    <row r="20" spans="1:6" s="1912" customFormat="1" ht="13.2">
      <c r="A20" s="1655"/>
      <c r="B20" s="1655"/>
      <c r="C20" s="1680"/>
      <c r="D20" s="1680"/>
      <c r="E20" s="1680"/>
      <c r="F20" s="1680"/>
    </row>
    <row r="21" spans="1:6" s="1912" customFormat="1" ht="13.2">
      <c r="A21" s="1655"/>
      <c r="B21" s="1997"/>
      <c r="C21" s="1680"/>
      <c r="D21" s="1655"/>
      <c r="E21" s="1655"/>
      <c r="F21" s="1655"/>
    </row>
    <row r="22" spans="1:6" s="1912" customFormat="1" ht="13.2">
      <c r="A22" s="1655"/>
      <c r="B22" s="1655"/>
      <c r="C22" s="1655"/>
      <c r="D22" s="1655"/>
      <c r="E22" s="1655"/>
      <c r="F22" s="1655"/>
    </row>
    <row r="23" spans="1:6" s="1912" customFormat="1" ht="13.2">
      <c r="A23" s="1655"/>
      <c r="B23" s="1655"/>
      <c r="C23" s="1680"/>
      <c r="D23" s="1680"/>
      <c r="E23" s="1680"/>
      <c r="F23" s="1680"/>
    </row>
    <row r="24" spans="1:6" s="1912" customFormat="1" ht="13.2">
      <c r="A24" s="1655"/>
      <c r="B24" s="1655"/>
      <c r="C24" s="1680"/>
      <c r="D24" s="1655"/>
      <c r="E24" s="1655"/>
      <c r="F24" s="1655"/>
    </row>
    <row r="25" spans="1:6" s="1912" customFormat="1" ht="13.2">
      <c r="A25" s="1655"/>
      <c r="B25" s="1655"/>
      <c r="C25" s="1655"/>
      <c r="D25" s="1655"/>
      <c r="E25" s="1655"/>
      <c r="F25" s="1655"/>
    </row>
    <row r="26" spans="1:6" s="1912" customFormat="1" ht="13.2">
      <c r="A26" s="1655"/>
      <c r="B26" s="1997"/>
      <c r="C26" s="1680"/>
      <c r="D26" s="1655"/>
      <c r="E26" s="1655"/>
      <c r="F26" s="1655"/>
    </row>
    <row r="27" spans="1:6" s="1912" customFormat="1" ht="13.2">
      <c r="A27" s="1655"/>
      <c r="B27" s="1655"/>
      <c r="C27" s="1655"/>
      <c r="D27" s="1655"/>
      <c r="E27" s="1655"/>
      <c r="F27" s="1655"/>
    </row>
    <row r="28" spans="1:6" s="1912" customFormat="1" ht="13.2">
      <c r="A28" s="1655"/>
      <c r="B28" s="1655"/>
      <c r="C28" s="1680"/>
      <c r="D28" s="1680"/>
      <c r="E28" s="1680"/>
      <c r="F28" s="1680"/>
    </row>
    <row r="29" spans="1:6" s="1912" customFormat="1" ht="13.2">
      <c r="A29" s="1655"/>
      <c r="B29" s="1655"/>
      <c r="C29" s="1655"/>
      <c r="D29" s="1655"/>
      <c r="E29" s="1655"/>
      <c r="F29" s="1655"/>
    </row>
    <row r="30" spans="1:6" s="1912" customFormat="1" ht="13.2">
      <c r="A30" s="1655"/>
      <c r="B30" s="1655"/>
      <c r="C30" s="1655"/>
      <c r="D30" s="1655"/>
      <c r="E30" s="1655"/>
      <c r="F30" s="1655"/>
    </row>
    <row r="31" spans="1:6" s="1912" customFormat="1" ht="13.2">
      <c r="A31" s="1655"/>
      <c r="B31" s="1655"/>
      <c r="C31" s="1655"/>
      <c r="D31" s="1655"/>
      <c r="E31" s="1655"/>
      <c r="F31" s="1655"/>
    </row>
    <row r="32" spans="1:6" s="1912" customFormat="1" ht="13.2">
      <c r="A32" s="1655"/>
      <c r="B32" s="1655"/>
      <c r="C32" s="1655"/>
      <c r="D32" s="1655"/>
      <c r="E32" s="1655"/>
      <c r="F32" s="1655"/>
    </row>
    <row r="33" spans="1:6" s="1912" customFormat="1" ht="13.2">
      <c r="A33" s="1655"/>
      <c r="B33" s="1655"/>
      <c r="C33" s="1655"/>
      <c r="D33" s="1655"/>
      <c r="E33" s="1655"/>
      <c r="F33" s="1655"/>
    </row>
    <row r="34" spans="1:6" s="1912" customFormat="1" ht="13.2">
      <c r="A34" s="1655"/>
      <c r="B34" s="1655"/>
      <c r="C34" s="1655"/>
      <c r="D34" s="1655"/>
      <c r="E34" s="1655"/>
      <c r="F34" s="1655"/>
    </row>
    <row r="35" spans="1:6" s="1912" customFormat="1" ht="13.2">
      <c r="A35" s="1655"/>
      <c r="B35" s="1655"/>
      <c r="C35" s="1655"/>
      <c r="D35" s="1655"/>
      <c r="E35" s="1655"/>
      <c r="F35" s="1655"/>
    </row>
    <row r="36" spans="1:6" s="1912" customFormat="1" ht="13.2">
      <c r="A36" s="1655"/>
      <c r="B36" s="1655"/>
      <c r="C36" s="1655"/>
      <c r="D36" s="1655"/>
      <c r="E36" s="1655"/>
      <c r="F36" s="1655"/>
    </row>
    <row r="37" spans="1:6" s="1912" customFormat="1" ht="13.2">
      <c r="A37" s="1655"/>
      <c r="B37" s="1655"/>
      <c r="C37" s="1655"/>
      <c r="D37" s="1655"/>
      <c r="E37" s="1655"/>
      <c r="F37" s="1655"/>
    </row>
    <row r="38" spans="1:6" s="1912" customFormat="1" ht="13.2">
      <c r="A38" s="1655"/>
      <c r="B38" s="1655"/>
      <c r="C38" s="1655"/>
      <c r="D38" s="1655"/>
      <c r="E38" s="1655"/>
      <c r="F38" s="1655"/>
    </row>
    <row r="39" spans="1:6" s="1912" customFormat="1" ht="13.2">
      <c r="A39" s="1655"/>
      <c r="B39" s="1655"/>
      <c r="C39" s="1655"/>
      <c r="D39" s="1655"/>
      <c r="E39" s="1655"/>
      <c r="F39" s="1655"/>
    </row>
    <row r="40" spans="1:6" s="1912" customFormat="1" ht="13.2">
      <c r="A40" s="1655"/>
      <c r="B40" s="1655"/>
      <c r="C40" s="1655"/>
      <c r="D40" s="1655"/>
      <c r="E40" s="1655"/>
      <c r="F40" s="1655"/>
    </row>
    <row r="41" spans="1:6" s="1912" customFormat="1" ht="13.2">
      <c r="A41" s="1655"/>
      <c r="B41" s="1655"/>
      <c r="C41" s="1655"/>
      <c r="D41" s="1655"/>
      <c r="E41" s="1655"/>
      <c r="F41" s="1655"/>
    </row>
    <row r="42" spans="1:6" s="1912" customFormat="1" ht="13.2">
      <c r="A42" s="1655"/>
      <c r="B42" s="1655"/>
      <c r="C42" s="1655"/>
      <c r="D42" s="1655"/>
      <c r="E42" s="1655"/>
      <c r="F42" s="1655"/>
    </row>
    <row r="43" spans="1:6" s="1912" customFormat="1" ht="13.2">
      <c r="A43" s="1655"/>
      <c r="B43" s="1655"/>
      <c r="C43" s="1655"/>
      <c r="D43" s="1655"/>
      <c r="E43" s="1655"/>
      <c r="F43" s="1655"/>
    </row>
    <row r="44" spans="1:6" s="1912" customFormat="1" ht="13.2">
      <c r="A44" s="1655"/>
      <c r="B44" s="1655"/>
      <c r="C44" s="1655"/>
      <c r="D44" s="1655"/>
      <c r="E44" s="1655"/>
      <c r="F44" s="1655"/>
    </row>
    <row r="45" spans="1:6" s="1912" customFormat="1" ht="13.2">
      <c r="A45" s="1655"/>
      <c r="B45" s="1655"/>
      <c r="C45" s="1655"/>
      <c r="D45" s="1655"/>
      <c r="E45" s="1655"/>
      <c r="F45" s="1655"/>
    </row>
    <row r="46" spans="1:6" s="1912" customFormat="1" ht="13.2">
      <c r="A46" s="1655"/>
      <c r="B46" s="1655"/>
      <c r="C46" s="1655"/>
      <c r="D46" s="1655"/>
      <c r="E46" s="1655"/>
      <c r="F46" s="1655"/>
    </row>
    <row r="47" spans="1:6" s="1912" customFormat="1" ht="13.2">
      <c r="A47" s="1655"/>
      <c r="B47" s="1655"/>
      <c r="C47" s="1655"/>
      <c r="D47" s="1655"/>
      <c r="E47" s="1655"/>
      <c r="F47" s="1655"/>
    </row>
    <row r="48" spans="1:6" s="1912" customFormat="1" ht="13.2">
      <c r="A48" s="1655"/>
      <c r="B48" s="1655"/>
      <c r="C48" s="1655"/>
      <c r="D48" s="1655"/>
      <c r="E48" s="1655"/>
      <c r="F48" s="1655"/>
    </row>
    <row r="49" spans="1:6" s="1912" customFormat="1" ht="13.2">
      <c r="A49" s="1655"/>
      <c r="B49" s="1655"/>
      <c r="C49" s="1655"/>
      <c r="D49" s="1655"/>
      <c r="E49" s="1655"/>
      <c r="F49" s="1655"/>
    </row>
    <row r="50" spans="1:6" s="1912" customFormat="1" ht="13.2">
      <c r="A50" s="1655"/>
      <c r="B50" s="1655"/>
      <c r="C50" s="1655"/>
      <c r="D50" s="1655"/>
      <c r="E50" s="1655"/>
      <c r="F50" s="1655"/>
    </row>
    <row r="51" spans="1:6" s="1912" customFormat="1" ht="13.2">
      <c r="A51" s="1655"/>
      <c r="B51" s="1655"/>
      <c r="C51" s="1655"/>
      <c r="D51" s="1655"/>
      <c r="E51" s="1655"/>
      <c r="F51" s="1655"/>
    </row>
    <row r="52" spans="1:6" s="1912" customFormat="1" ht="13.2">
      <c r="A52" s="1655"/>
      <c r="B52" s="1655"/>
      <c r="C52" s="1655"/>
      <c r="D52" s="1655"/>
      <c r="E52" s="1655"/>
      <c r="F52" s="1655"/>
    </row>
    <row r="53" spans="1:6" s="1912" customFormat="1" ht="13.2">
      <c r="A53" s="1655"/>
      <c r="B53" s="1655"/>
      <c r="C53" s="1655"/>
      <c r="D53" s="1655"/>
      <c r="E53" s="1655"/>
      <c r="F53" s="1655"/>
    </row>
    <row r="54" spans="1:6" s="1912" customFormat="1" ht="13.2">
      <c r="A54" s="1655"/>
      <c r="B54" s="1655"/>
      <c r="C54" s="1655"/>
      <c r="D54" s="1655"/>
      <c r="E54" s="1655"/>
      <c r="F54" s="1655"/>
    </row>
    <row r="55" spans="1:6" s="1912" customFormat="1" ht="13.2">
      <c r="A55" s="1655"/>
      <c r="B55" s="1655"/>
      <c r="C55" s="1655"/>
      <c r="D55" s="1655"/>
      <c r="E55" s="1655"/>
      <c r="F55" s="1655"/>
    </row>
    <row r="56" spans="1:6" s="1912" customFormat="1" ht="13.2">
      <c r="A56" s="1655"/>
      <c r="B56" s="1655"/>
      <c r="C56" s="1655"/>
      <c r="D56" s="1655"/>
      <c r="E56" s="1655"/>
      <c r="F56" s="1655"/>
    </row>
    <row r="57" spans="1:6" s="1912" customFormat="1" ht="14.25" customHeight="1">
      <c r="A57" s="1659" t="s">
        <v>1768</v>
      </c>
      <c r="B57" s="1659" t="s">
        <v>1417</v>
      </c>
      <c r="C57" s="1659"/>
      <c r="D57" s="1659"/>
      <c r="E57" s="1659"/>
      <c r="F57" s="1659"/>
    </row>
    <row r="58" spans="1:6" s="1912" customFormat="1" ht="13.2">
      <c r="C58" s="1911"/>
    </row>
    <row r="59" spans="1:6" s="1912" customFormat="1" ht="13.2"/>
  </sheetData>
  <mergeCells count="1">
    <mergeCell ref="A2:B2"/>
  </mergeCells>
  <pageMargins left="0.94488188976377963" right="0.35433070866141736" top="0.78740157480314965" bottom="0.78740157480314965" header="0.51181102362204722" footer="0.51181102362204722"/>
  <pageSetup paperSize="9" scale="91" orientation="portrait" r:id="rId1"/>
  <headerFooter alignWithMargins="0">
    <oddHeader>&amp;CC80.34</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election activeCell="B24" sqref="B24"/>
    </sheetView>
  </sheetViews>
  <sheetFormatPr defaultColWidth="9.109375" defaultRowHeight="11.4"/>
  <cols>
    <col min="1" max="1" width="7.6640625" style="1320" customWidth="1"/>
    <col min="2" max="2" width="75.6640625" style="1265" customWidth="1"/>
    <col min="3" max="3" width="20" style="1264" customWidth="1"/>
    <col min="4" max="4" width="12.44140625" style="1265" bestFit="1" customWidth="1"/>
    <col min="5" max="16384" width="9.109375" style="1265"/>
  </cols>
  <sheetData>
    <row r="1" spans="1:4" ht="13.8">
      <c r="A1" s="2002" t="str">
        <f>+'8100'!A1</f>
        <v>GREATER LETABA MUNICIPALITY</v>
      </c>
      <c r="B1" s="1626"/>
      <c r="C1" s="1626"/>
    </row>
    <row r="2" spans="1:4" ht="12.6" thickBot="1">
      <c r="A2" s="2002" t="str">
        <f>+'8100'!A2:B2</f>
        <v>CONTRACT NUMBER: GLM015/2025</v>
      </c>
      <c r="B2" s="1271"/>
      <c r="C2" s="2003"/>
    </row>
    <row r="3" spans="1:4" s="1277" customFormat="1" ht="17.399999999999999">
      <c r="A3" s="2238" t="s">
        <v>1769</v>
      </c>
      <c r="B3" s="2239"/>
      <c r="C3" s="2240"/>
    </row>
    <row r="4" spans="1:4" s="1277" customFormat="1" ht="18.600000000000001" customHeight="1" thickBot="1">
      <c r="A4" s="2004"/>
      <c r="B4" s="2005"/>
      <c r="C4" s="2006"/>
    </row>
    <row r="5" spans="1:4" s="1277" customFormat="1" ht="24.9" customHeight="1" thickTop="1">
      <c r="A5" s="2007"/>
      <c r="B5" s="2013" t="s">
        <v>1771</v>
      </c>
      <c r="C5" s="2008"/>
    </row>
    <row r="6" spans="1:4" s="2011" customFormat="1" ht="27" customHeight="1">
      <c r="A6" s="2009">
        <v>1500</v>
      </c>
      <c r="B6" s="2014" t="s">
        <v>1391</v>
      </c>
      <c r="C6" s="2015"/>
    </row>
    <row r="7" spans="1:4" s="2011" customFormat="1" ht="27" customHeight="1">
      <c r="A7" s="2009">
        <v>1700</v>
      </c>
      <c r="B7" s="2016" t="s">
        <v>1441</v>
      </c>
      <c r="C7" s="2010"/>
    </row>
    <row r="8" spans="1:4" s="2011" customFormat="1" ht="27" customHeight="1">
      <c r="A8" s="2009">
        <v>2100</v>
      </c>
      <c r="B8" s="2016" t="s">
        <v>1454</v>
      </c>
      <c r="C8" s="2010"/>
    </row>
    <row r="9" spans="1:4" s="2011" customFormat="1" ht="27" customHeight="1">
      <c r="A9" s="2009">
        <v>2200</v>
      </c>
      <c r="B9" s="2016" t="s">
        <v>1469</v>
      </c>
      <c r="C9" s="2015"/>
    </row>
    <row r="10" spans="1:4" s="2011" customFormat="1" ht="27" customHeight="1">
      <c r="A10" s="2009">
        <v>2300</v>
      </c>
      <c r="B10" s="2016" t="s">
        <v>1485</v>
      </c>
      <c r="C10" s="2015"/>
      <c r="D10" s="2017"/>
    </row>
    <row r="11" spans="1:4" s="2011" customFormat="1" ht="27" customHeight="1">
      <c r="A11" s="2009">
        <v>3100</v>
      </c>
      <c r="B11" s="2012" t="s">
        <v>1530</v>
      </c>
      <c r="C11" s="2015"/>
      <c r="D11" s="2017"/>
    </row>
    <row r="12" spans="1:4" s="2011" customFormat="1" ht="27" customHeight="1">
      <c r="A12" s="2009">
        <v>3300</v>
      </c>
      <c r="B12" s="2012" t="s">
        <v>1539</v>
      </c>
      <c r="C12" s="2015"/>
      <c r="D12" s="2017"/>
    </row>
    <row r="13" spans="1:4" s="2011" customFormat="1" ht="27" customHeight="1">
      <c r="A13" s="2009">
        <v>3400</v>
      </c>
      <c r="B13" s="2012" t="s">
        <v>880</v>
      </c>
      <c r="C13" s="2015"/>
      <c r="D13" s="2017"/>
    </row>
    <row r="14" spans="1:4" s="2011" customFormat="1" ht="27" customHeight="1">
      <c r="A14" s="2009">
        <v>3500</v>
      </c>
      <c r="B14" s="2012" t="s">
        <v>1772</v>
      </c>
      <c r="C14" s="2015"/>
      <c r="D14" s="2017"/>
    </row>
    <row r="15" spans="1:4" s="2011" customFormat="1" ht="27" customHeight="1">
      <c r="A15" s="2009">
        <v>3600</v>
      </c>
      <c r="B15" s="2012" t="s">
        <v>1773</v>
      </c>
      <c r="C15" s="2015"/>
      <c r="D15" s="2017"/>
    </row>
    <row r="16" spans="1:4" s="2011" customFormat="1" ht="27" customHeight="1">
      <c r="A16" s="2009">
        <v>5100</v>
      </c>
      <c r="B16" s="2012" t="s">
        <v>1774</v>
      </c>
      <c r="C16" s="2015"/>
      <c r="D16" s="2017"/>
    </row>
    <row r="17" spans="1:4" s="2011" customFormat="1" ht="27" customHeight="1">
      <c r="A17" s="2009">
        <v>5200</v>
      </c>
      <c r="B17" s="2012" t="str">
        <f>+'[25]5200'!B8</f>
        <v>GABIONS</v>
      </c>
      <c r="C17" s="2015"/>
      <c r="D17" s="2017"/>
    </row>
    <row r="18" spans="1:4" s="2011" customFormat="1" ht="27" customHeight="1">
      <c r="A18" s="2009">
        <v>5400</v>
      </c>
      <c r="B18" s="2012" t="str">
        <f>+'[25]5400'!B8</f>
        <v>GUARDRAILS</v>
      </c>
      <c r="C18" s="2015"/>
      <c r="D18" s="2017"/>
    </row>
    <row r="19" spans="1:4" s="2011" customFormat="1" ht="27" customHeight="1">
      <c r="A19" s="2009">
        <v>5600</v>
      </c>
      <c r="B19" s="2018" t="s">
        <v>1712</v>
      </c>
      <c r="C19" s="2015"/>
      <c r="D19" s="2017"/>
    </row>
    <row r="20" spans="1:4" s="2011" customFormat="1" ht="27" customHeight="1">
      <c r="A20" s="2009">
        <v>5700</v>
      </c>
      <c r="B20" s="2018" t="s">
        <v>1775</v>
      </c>
      <c r="C20" s="2015"/>
      <c r="D20" s="2017"/>
    </row>
    <row r="21" spans="1:4" s="2011" customFormat="1" ht="27" customHeight="1">
      <c r="A21" s="2009">
        <v>5900</v>
      </c>
      <c r="B21" s="2019" t="s">
        <v>1776</v>
      </c>
      <c r="C21" s="2015"/>
      <c r="D21" s="2017"/>
    </row>
    <row r="22" spans="1:4" s="2011" customFormat="1" ht="27" customHeight="1">
      <c r="A22" s="2009">
        <v>7300</v>
      </c>
      <c r="B22" s="2019" t="s">
        <v>1750</v>
      </c>
      <c r="C22" s="2020"/>
      <c r="D22" s="2017"/>
    </row>
    <row r="23" spans="1:4" s="2011" customFormat="1" ht="27" customHeight="1" thickBot="1">
      <c r="A23" s="2021">
        <v>8100</v>
      </c>
      <c r="B23" s="2022" t="s">
        <v>202</v>
      </c>
      <c r="C23" s="2020"/>
      <c r="D23" s="2017"/>
    </row>
    <row r="24" spans="1:4" s="1277" customFormat="1" ht="24" customHeight="1" thickBot="1">
      <c r="A24" s="2023"/>
      <c r="B24" s="2024" t="s">
        <v>1770</v>
      </c>
      <c r="C24" s="2025"/>
      <c r="D24" s="2026"/>
    </row>
    <row r="25" spans="1:4" ht="12">
      <c r="B25" s="1262"/>
    </row>
  </sheetData>
  <mergeCells count="1">
    <mergeCell ref="A3:C3"/>
  </mergeCells>
  <pageMargins left="0.94488188976377963" right="0.35433070866141736" top="0.78740157480314965" bottom="0.78740157480314965" header="0.51181102362204722" footer="0.51181102362204722"/>
  <pageSetup paperSize="9" scale="85" orientation="portrait" r:id="rId1"/>
  <headerFooter alignWithMargins="0">
    <oddHeader>&amp;CC80.35</oddHeader>
  </headerFooter>
  <colBreaks count="1" manualBreakCount="1">
    <brk id="3" max="28"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1"/>
  <sheetViews>
    <sheetView view="pageBreakPreview" topLeftCell="A241" zoomScaleNormal="100" zoomScaleSheetLayoutView="100" workbookViewId="0">
      <selection activeCell="G300" sqref="G300"/>
    </sheetView>
  </sheetViews>
  <sheetFormatPr defaultColWidth="9.109375" defaultRowHeight="13.8"/>
  <cols>
    <col min="1" max="1" width="9.109375" style="99"/>
    <col min="2" max="2" width="11.33203125" style="99" customWidth="1"/>
    <col min="3" max="3" width="65.109375" style="99" bestFit="1" customWidth="1"/>
    <col min="4" max="4" width="10.33203125" style="100" customWidth="1"/>
    <col min="5" max="5" width="11.6640625" style="101" customWidth="1"/>
    <col min="6" max="6" width="13.6640625" style="100" customWidth="1"/>
    <col min="7" max="7" width="14.5546875" style="100" customWidth="1"/>
    <col min="8" max="16384" width="9.109375" style="99"/>
  </cols>
  <sheetData>
    <row r="1" spans="1:7">
      <c r="A1" s="3" t="str">
        <f>'1-P&amp;G''s '!A1</f>
        <v>GREATER LETABA MUNICIPALITY</v>
      </c>
      <c r="B1" s="3"/>
      <c r="C1" s="3"/>
      <c r="D1" s="35"/>
      <c r="E1" s="88"/>
      <c r="F1" s="82"/>
      <c r="G1" s="85"/>
    </row>
    <row r="2" spans="1:7">
      <c r="A2" s="3" t="str">
        <f>'1-P&amp;G''s '!A2</f>
        <v>CONTRACT NUMBER: GLM015/2025</v>
      </c>
      <c r="B2" s="3"/>
      <c r="C2" s="3"/>
      <c r="D2" s="1"/>
      <c r="E2" s="89"/>
      <c r="F2" s="98"/>
      <c r="G2" s="85"/>
    </row>
    <row r="3" spans="1:7">
      <c r="A3" s="3" t="str">
        <f>'1-P&amp;G''s '!A3</f>
        <v>CONSTRUCTION OF MAPHALLE LANDFILL SITE PH2</v>
      </c>
      <c r="B3" s="1"/>
      <c r="C3" s="2"/>
      <c r="D3" s="35"/>
      <c r="E3" s="88"/>
      <c r="F3" s="82"/>
      <c r="G3" s="85"/>
    </row>
    <row r="4" spans="1:7">
      <c r="A4" s="2248"/>
      <c r="B4" s="2248"/>
      <c r="C4" s="2248"/>
      <c r="D4" s="2248"/>
      <c r="E4" s="88"/>
      <c r="F4" s="82"/>
      <c r="G4" s="85"/>
    </row>
    <row r="5" spans="1:7">
      <c r="A5" s="3" t="s">
        <v>482</v>
      </c>
      <c r="B5" s="3"/>
      <c r="C5" s="3"/>
      <c r="D5" s="1"/>
      <c r="E5" s="89"/>
      <c r="F5" s="82"/>
      <c r="G5" s="85"/>
    </row>
    <row r="6" spans="1:7" ht="14.4" thickBot="1">
      <c r="A6" s="35"/>
      <c r="B6" s="35"/>
      <c r="C6" s="2"/>
      <c r="D6" s="35"/>
      <c r="E6" s="88"/>
      <c r="F6" s="82"/>
      <c r="G6" s="85"/>
    </row>
    <row r="7" spans="1:7">
      <c r="A7" s="2142" t="s">
        <v>111</v>
      </c>
      <c r="B7" s="2142" t="s">
        <v>112</v>
      </c>
      <c r="C7" s="2139" t="s">
        <v>2</v>
      </c>
      <c r="D7" s="2139" t="s">
        <v>3</v>
      </c>
      <c r="E7" s="2249" t="s">
        <v>4</v>
      </c>
      <c r="F7" s="2241" t="s">
        <v>5</v>
      </c>
      <c r="G7" s="2243" t="s">
        <v>6</v>
      </c>
    </row>
    <row r="8" spans="1:7" ht="14.4" thickBot="1">
      <c r="A8" s="2143"/>
      <c r="B8" s="2143"/>
      <c r="C8" s="2140"/>
      <c r="D8" s="2140"/>
      <c r="E8" s="2250"/>
      <c r="F8" s="2242"/>
      <c r="G8" s="2244"/>
    </row>
    <row r="9" spans="1:7">
      <c r="A9" s="57"/>
      <c r="B9" s="57"/>
      <c r="C9" s="58"/>
      <c r="D9" s="57"/>
      <c r="E9" s="90"/>
      <c r="F9" s="60"/>
      <c r="G9" s="59"/>
    </row>
    <row r="10" spans="1:7">
      <c r="A10" s="39"/>
      <c r="B10" s="4"/>
      <c r="C10" s="36" t="s">
        <v>222</v>
      </c>
      <c r="D10" s="7"/>
      <c r="E10" s="8"/>
      <c r="F10" s="48"/>
      <c r="G10" s="33"/>
    </row>
    <row r="11" spans="1:7">
      <c r="A11" s="7"/>
      <c r="B11" s="7"/>
      <c r="C11" s="5"/>
      <c r="D11" s="7"/>
      <c r="E11" s="8"/>
      <c r="F11" s="48"/>
      <c r="G11" s="33"/>
    </row>
    <row r="12" spans="1:7">
      <c r="A12" s="7"/>
      <c r="B12" s="4"/>
      <c r="C12" s="63" t="s">
        <v>223</v>
      </c>
      <c r="D12" s="7"/>
      <c r="E12" s="8"/>
      <c r="F12" s="48"/>
      <c r="G12" s="33"/>
    </row>
    <row r="13" spans="1:7">
      <c r="A13" s="7"/>
      <c r="B13" s="7"/>
      <c r="C13" s="34"/>
      <c r="D13" s="7"/>
      <c r="E13" s="8"/>
      <c r="F13" s="48"/>
      <c r="G13" s="33"/>
    </row>
    <row r="14" spans="1:7" ht="16.5" customHeight="1">
      <c r="A14" s="8"/>
      <c r="B14" s="7"/>
      <c r="C14" s="34"/>
      <c r="D14" s="7"/>
      <c r="E14" s="8"/>
      <c r="F14" s="48"/>
      <c r="G14" s="33"/>
    </row>
    <row r="15" spans="1:7">
      <c r="A15" s="7">
        <v>1</v>
      </c>
      <c r="B15" s="7"/>
      <c r="C15" s="63" t="s">
        <v>224</v>
      </c>
      <c r="D15" s="7"/>
      <c r="E15" s="8"/>
      <c r="F15" s="48"/>
      <c r="G15" s="33"/>
    </row>
    <row r="16" spans="1:7" ht="14.25" customHeight="1">
      <c r="A16" s="39"/>
      <c r="B16" s="7"/>
      <c r="C16" s="63" t="s">
        <v>225</v>
      </c>
      <c r="D16" s="7" t="s">
        <v>118</v>
      </c>
      <c r="E16" s="8">
        <v>49.81</v>
      </c>
      <c r="F16" s="48">
        <v>12</v>
      </c>
      <c r="G16" s="33">
        <f>E16*F16</f>
        <v>597.72</v>
      </c>
    </row>
    <row r="17" spans="1:7">
      <c r="A17" s="7"/>
      <c r="B17" s="7"/>
      <c r="C17" s="63" t="s">
        <v>226</v>
      </c>
      <c r="D17" s="7"/>
      <c r="E17" s="8"/>
      <c r="F17" s="48"/>
      <c r="G17" s="33"/>
    </row>
    <row r="18" spans="1:7" ht="12" customHeight="1">
      <c r="A18" s="7"/>
      <c r="B18" s="7"/>
      <c r="C18" s="63" t="s">
        <v>227</v>
      </c>
      <c r="D18" s="7"/>
      <c r="E18" s="8"/>
      <c r="F18" s="48"/>
      <c r="G18" s="33"/>
    </row>
    <row r="19" spans="1:7">
      <c r="A19" s="7"/>
      <c r="B19" s="7"/>
      <c r="C19" s="5"/>
      <c r="D19" s="7"/>
      <c r="E19" s="8"/>
      <c r="F19" s="48"/>
      <c r="G19" s="33"/>
    </row>
    <row r="20" spans="1:7" ht="16.2">
      <c r="A20" s="7">
        <v>2</v>
      </c>
      <c r="B20" s="7"/>
      <c r="C20" s="5" t="s">
        <v>228</v>
      </c>
      <c r="D20" s="25" t="s">
        <v>113</v>
      </c>
      <c r="E20" s="8">
        <v>26.55</v>
      </c>
      <c r="F20" s="48">
        <v>68</v>
      </c>
      <c r="G20" s="33">
        <f>E20*F20</f>
        <v>1805.4</v>
      </c>
    </row>
    <row r="21" spans="1:7">
      <c r="A21" s="7"/>
      <c r="B21" s="7"/>
      <c r="C21" s="5"/>
      <c r="D21" s="7"/>
      <c r="E21" s="8"/>
      <c r="F21" s="48"/>
      <c r="G21" s="33"/>
    </row>
    <row r="22" spans="1:7" ht="15.75" customHeight="1">
      <c r="A22" s="7"/>
      <c r="B22" s="7"/>
      <c r="C22" s="136" t="s">
        <v>229</v>
      </c>
      <c r="D22" s="7"/>
      <c r="E22" s="8"/>
      <c r="F22" s="48"/>
      <c r="G22" s="33"/>
    </row>
    <row r="23" spans="1:7">
      <c r="A23" s="7"/>
      <c r="B23" s="7"/>
      <c r="C23" s="5"/>
      <c r="D23" s="7"/>
      <c r="E23" s="8"/>
      <c r="F23" s="48"/>
      <c r="G23" s="33"/>
    </row>
    <row r="24" spans="1:7" ht="16.2">
      <c r="A24" s="7">
        <v>3</v>
      </c>
      <c r="B24" s="7"/>
      <c r="C24" s="5" t="s">
        <v>231</v>
      </c>
      <c r="D24" s="25" t="s">
        <v>113</v>
      </c>
      <c r="E24" s="8">
        <v>2.66</v>
      </c>
      <c r="F24" s="48">
        <v>190</v>
      </c>
      <c r="G24" s="33">
        <f>E24*F24</f>
        <v>505.40000000000003</v>
      </c>
    </row>
    <row r="25" spans="1:7">
      <c r="A25" s="7"/>
      <c r="B25" s="7"/>
      <c r="C25" s="5"/>
      <c r="D25" s="7"/>
      <c r="E25" s="8"/>
      <c r="F25" s="48"/>
      <c r="G25" s="33"/>
    </row>
    <row r="26" spans="1:7" ht="16.2">
      <c r="A26" s="7">
        <v>4</v>
      </c>
      <c r="B26" s="7"/>
      <c r="C26" s="5" t="s">
        <v>230</v>
      </c>
      <c r="D26" s="25" t="s">
        <v>113</v>
      </c>
      <c r="E26" s="8">
        <v>2.66</v>
      </c>
      <c r="F26" s="48">
        <v>370</v>
      </c>
      <c r="G26" s="33">
        <f>E26*F26</f>
        <v>984.2</v>
      </c>
    </row>
    <row r="27" spans="1:7">
      <c r="A27" s="7"/>
      <c r="B27" s="7"/>
      <c r="C27" s="5"/>
      <c r="D27" s="7"/>
      <c r="E27" s="8"/>
      <c r="F27" s="48"/>
      <c r="G27" s="33"/>
    </row>
    <row r="28" spans="1:7">
      <c r="A28" s="7"/>
      <c r="B28" s="7"/>
      <c r="C28" s="63" t="s">
        <v>232</v>
      </c>
      <c r="D28" s="7" t="s">
        <v>138</v>
      </c>
      <c r="E28" s="8">
        <v>1</v>
      </c>
      <c r="F28" s="48">
        <v>1500</v>
      </c>
      <c r="G28" s="33">
        <f>E28*F28</f>
        <v>1500</v>
      </c>
    </row>
    <row r="29" spans="1:7">
      <c r="A29" s="7"/>
      <c r="B29" s="7"/>
      <c r="C29" s="36"/>
      <c r="D29" s="7"/>
      <c r="E29" s="8"/>
      <c r="F29" s="48"/>
      <c r="G29" s="33"/>
    </row>
    <row r="30" spans="1:7" ht="16.2">
      <c r="A30" s="7">
        <v>5</v>
      </c>
      <c r="B30" s="7"/>
      <c r="C30" s="63" t="s">
        <v>233</v>
      </c>
      <c r="D30" s="7" t="s">
        <v>118</v>
      </c>
      <c r="E30" s="8">
        <v>79.650000000000006</v>
      </c>
      <c r="F30" s="48">
        <v>10</v>
      </c>
      <c r="G30" s="33">
        <f t="shared" ref="G30:G73" si="0">E30*F30</f>
        <v>796.5</v>
      </c>
    </row>
    <row r="31" spans="1:7">
      <c r="A31" s="7"/>
      <c r="B31" s="7"/>
      <c r="C31" s="63" t="s">
        <v>234</v>
      </c>
      <c r="D31" s="7"/>
      <c r="E31" s="8"/>
      <c r="F31" s="48"/>
      <c r="G31" s="33"/>
    </row>
    <row r="32" spans="1:7">
      <c r="A32" s="7"/>
      <c r="B32" s="7"/>
      <c r="C32" s="36"/>
      <c r="D32" s="7"/>
      <c r="E32" s="8"/>
      <c r="F32" s="48"/>
      <c r="G32" s="33"/>
    </row>
    <row r="33" spans="1:7">
      <c r="A33" s="7">
        <v>6</v>
      </c>
      <c r="B33" s="7"/>
      <c r="C33" s="63" t="s">
        <v>235</v>
      </c>
      <c r="D33" s="7" t="s">
        <v>239</v>
      </c>
      <c r="E33" s="8">
        <v>1</v>
      </c>
      <c r="F33" s="48">
        <v>1500</v>
      </c>
      <c r="G33" s="33">
        <f t="shared" si="0"/>
        <v>1500</v>
      </c>
    </row>
    <row r="34" spans="1:7">
      <c r="A34" s="7"/>
      <c r="B34" s="7"/>
      <c r="C34" s="63" t="s">
        <v>236</v>
      </c>
      <c r="D34" s="7"/>
      <c r="E34" s="8"/>
      <c r="F34" s="48"/>
      <c r="G34" s="33"/>
    </row>
    <row r="35" spans="1:7">
      <c r="A35" s="7"/>
      <c r="B35" s="7"/>
      <c r="C35" s="63" t="s">
        <v>237</v>
      </c>
      <c r="D35" s="7"/>
      <c r="E35" s="8"/>
      <c r="F35" s="48"/>
      <c r="G35" s="33"/>
    </row>
    <row r="36" spans="1:7">
      <c r="A36" s="7"/>
      <c r="B36" s="7"/>
      <c r="C36" s="63" t="s">
        <v>238</v>
      </c>
      <c r="D36" s="7"/>
      <c r="E36" s="8"/>
      <c r="F36" s="48"/>
      <c r="G36" s="33"/>
    </row>
    <row r="37" spans="1:7">
      <c r="A37" s="7"/>
      <c r="B37" s="7"/>
      <c r="C37" s="36"/>
      <c r="D37" s="7"/>
      <c r="E37" s="8"/>
      <c r="F37" s="48"/>
      <c r="G37" s="33"/>
    </row>
    <row r="38" spans="1:7">
      <c r="A38" s="7">
        <v>7</v>
      </c>
      <c r="B38" s="7"/>
      <c r="C38" s="63" t="s">
        <v>240</v>
      </c>
      <c r="D38" s="7"/>
      <c r="E38" s="8"/>
      <c r="F38" s="48"/>
      <c r="G38" s="33"/>
    </row>
    <row r="39" spans="1:7" ht="27.6">
      <c r="A39" s="7"/>
      <c r="B39" s="7"/>
      <c r="C39" s="62" t="s">
        <v>241</v>
      </c>
      <c r="D39" s="25" t="s">
        <v>113</v>
      </c>
      <c r="E39" s="8">
        <v>15.93</v>
      </c>
      <c r="F39" s="48">
        <v>40</v>
      </c>
      <c r="G39" s="33">
        <f t="shared" si="0"/>
        <v>637.20000000000005</v>
      </c>
    </row>
    <row r="40" spans="1:7">
      <c r="A40" s="7"/>
      <c r="B40" s="7"/>
      <c r="C40" s="36"/>
      <c r="D40" s="7"/>
      <c r="E40" s="8"/>
      <c r="F40" s="48"/>
      <c r="G40" s="33"/>
    </row>
    <row r="41" spans="1:7" ht="16.2">
      <c r="A41" s="7">
        <v>8</v>
      </c>
      <c r="B41" s="7"/>
      <c r="C41" s="63" t="s">
        <v>242</v>
      </c>
      <c r="D41" s="25" t="s">
        <v>113</v>
      </c>
      <c r="E41" s="8">
        <v>12.25</v>
      </c>
      <c r="F41" s="48">
        <v>169</v>
      </c>
      <c r="G41" s="33">
        <f t="shared" si="0"/>
        <v>2070.25</v>
      </c>
    </row>
    <row r="42" spans="1:7">
      <c r="A42" s="7"/>
      <c r="B42" s="7"/>
      <c r="C42" s="63"/>
      <c r="D42" s="25"/>
      <c r="E42" s="8"/>
      <c r="F42" s="48"/>
      <c r="G42" s="33"/>
    </row>
    <row r="43" spans="1:7">
      <c r="A43" s="7"/>
      <c r="B43" s="7"/>
      <c r="C43" s="63" t="s">
        <v>243</v>
      </c>
      <c r="D43" s="7"/>
      <c r="E43" s="8"/>
      <c r="F43" s="48"/>
      <c r="G43" s="33"/>
    </row>
    <row r="44" spans="1:7">
      <c r="A44" s="7"/>
      <c r="B44" s="7"/>
      <c r="C44" s="36"/>
      <c r="D44" s="7"/>
      <c r="E44" s="8"/>
      <c r="F44" s="48"/>
      <c r="G44" s="33"/>
    </row>
    <row r="45" spans="1:7" ht="16.2">
      <c r="A45" s="7">
        <v>9</v>
      </c>
      <c r="B45" s="7"/>
      <c r="C45" s="63" t="s">
        <v>244</v>
      </c>
      <c r="D45" s="25" t="s">
        <v>113</v>
      </c>
      <c r="E45" s="91">
        <v>10.62</v>
      </c>
      <c r="F45" s="48">
        <v>65</v>
      </c>
      <c r="G45" s="33">
        <f t="shared" si="0"/>
        <v>690.3</v>
      </c>
    </row>
    <row r="46" spans="1:7">
      <c r="A46" s="7"/>
      <c r="B46" s="7"/>
      <c r="C46" s="63" t="s">
        <v>245</v>
      </c>
      <c r="D46" s="7"/>
      <c r="E46" s="8"/>
      <c r="F46" s="48"/>
      <c r="G46" s="33"/>
    </row>
    <row r="47" spans="1:7">
      <c r="A47" s="7"/>
      <c r="B47" s="7"/>
      <c r="C47" s="36"/>
      <c r="D47" s="7"/>
      <c r="E47" s="8"/>
      <c r="F47" s="48"/>
      <c r="G47" s="33"/>
    </row>
    <row r="48" spans="1:7">
      <c r="A48" s="7"/>
      <c r="B48" s="7"/>
      <c r="C48" s="63" t="s">
        <v>246</v>
      </c>
      <c r="D48" s="7"/>
      <c r="E48" s="8"/>
      <c r="F48" s="48"/>
      <c r="G48" s="33"/>
    </row>
    <row r="49" spans="1:7">
      <c r="A49" s="7"/>
      <c r="B49" s="7"/>
      <c r="C49" s="36"/>
      <c r="D49" s="7"/>
      <c r="E49" s="8"/>
      <c r="F49" s="48"/>
      <c r="G49" s="33"/>
    </row>
    <row r="50" spans="1:7" ht="16.2">
      <c r="A50" s="7">
        <v>10</v>
      </c>
      <c r="B50" s="7"/>
      <c r="C50" s="63" t="s">
        <v>247</v>
      </c>
      <c r="D50" s="7" t="s">
        <v>118</v>
      </c>
      <c r="E50" s="8">
        <v>49.81</v>
      </c>
      <c r="F50" s="48">
        <v>45</v>
      </c>
      <c r="G50" s="33">
        <f t="shared" si="0"/>
        <v>2241.4500000000003</v>
      </c>
    </row>
    <row r="51" spans="1:7">
      <c r="A51" s="7"/>
      <c r="B51" s="7"/>
      <c r="C51" s="63" t="s">
        <v>248</v>
      </c>
      <c r="D51" s="7"/>
      <c r="E51" s="8"/>
      <c r="F51" s="48"/>
      <c r="G51" s="33"/>
    </row>
    <row r="52" spans="1:7">
      <c r="A52" s="7"/>
      <c r="B52" s="7"/>
      <c r="C52" s="63" t="s">
        <v>249</v>
      </c>
      <c r="D52" s="7"/>
      <c r="E52" s="8"/>
      <c r="F52" s="48"/>
      <c r="G52" s="33"/>
    </row>
    <row r="53" spans="1:7">
      <c r="A53" s="7"/>
      <c r="B53" s="7"/>
      <c r="C53" s="63" t="s">
        <v>250</v>
      </c>
      <c r="D53" s="7"/>
      <c r="E53" s="8"/>
      <c r="F53" s="48"/>
      <c r="G53" s="33"/>
    </row>
    <row r="54" spans="1:7">
      <c r="A54" s="7"/>
      <c r="B54" s="7"/>
      <c r="C54" s="36"/>
      <c r="D54" s="7"/>
      <c r="E54" s="8"/>
      <c r="F54" s="48"/>
      <c r="G54" s="33"/>
    </row>
    <row r="55" spans="1:7">
      <c r="A55" s="7"/>
      <c r="B55" s="7"/>
      <c r="C55" s="63" t="s">
        <v>251</v>
      </c>
      <c r="D55" s="7"/>
      <c r="E55" s="8"/>
      <c r="F55" s="48"/>
      <c r="G55" s="33"/>
    </row>
    <row r="56" spans="1:7">
      <c r="A56" s="7"/>
      <c r="B56" s="7"/>
      <c r="C56" s="36"/>
      <c r="D56" s="7"/>
      <c r="E56" s="8"/>
      <c r="F56" s="48"/>
      <c r="G56" s="33"/>
    </row>
    <row r="57" spans="1:7">
      <c r="A57" s="7">
        <v>11</v>
      </c>
      <c r="B57" s="7"/>
      <c r="C57" s="63" t="s">
        <v>252</v>
      </c>
      <c r="D57" s="7" t="s">
        <v>148</v>
      </c>
      <c r="E57" s="8">
        <v>4</v>
      </c>
      <c r="F57" s="48">
        <v>450</v>
      </c>
      <c r="G57" s="33">
        <f t="shared" si="0"/>
        <v>1800</v>
      </c>
    </row>
    <row r="58" spans="1:7">
      <c r="A58" s="7"/>
      <c r="B58" s="7"/>
      <c r="C58" s="63"/>
      <c r="D58" s="7"/>
      <c r="E58" s="8"/>
      <c r="F58" s="48"/>
      <c r="G58" s="33"/>
    </row>
    <row r="59" spans="1:7" ht="14.4">
      <c r="A59" s="7"/>
      <c r="B59" s="7"/>
      <c r="C59" s="140" t="s">
        <v>253</v>
      </c>
      <c r="D59" s="7"/>
      <c r="E59" s="8"/>
      <c r="F59" s="48"/>
      <c r="G59" s="33"/>
    </row>
    <row r="60" spans="1:7">
      <c r="A60" s="7"/>
      <c r="B60" s="7"/>
      <c r="C60" s="63" t="s">
        <v>254</v>
      </c>
      <c r="D60" s="7"/>
      <c r="E60" s="8"/>
      <c r="F60" s="48"/>
      <c r="G60" s="33"/>
    </row>
    <row r="61" spans="1:7">
      <c r="A61" s="7"/>
      <c r="B61" s="7"/>
      <c r="C61" s="36"/>
      <c r="D61" s="7"/>
      <c r="E61" s="8"/>
      <c r="F61" s="48"/>
      <c r="G61" s="33"/>
    </row>
    <row r="62" spans="1:7" ht="16.2">
      <c r="A62" s="7">
        <v>12</v>
      </c>
      <c r="B62" s="7"/>
      <c r="C62" s="63" t="s">
        <v>255</v>
      </c>
      <c r="D62" s="7" t="s">
        <v>118</v>
      </c>
      <c r="E62" s="8">
        <v>49.81</v>
      </c>
      <c r="F62" s="48">
        <v>13</v>
      </c>
      <c r="G62" s="33">
        <f t="shared" si="0"/>
        <v>647.53</v>
      </c>
    </row>
    <row r="63" spans="1:7">
      <c r="A63" s="7"/>
      <c r="B63" s="7"/>
      <c r="C63" s="63" t="s">
        <v>256</v>
      </c>
      <c r="D63" s="7"/>
      <c r="E63" s="8"/>
      <c r="F63" s="48"/>
      <c r="G63" s="33"/>
    </row>
    <row r="64" spans="1:7">
      <c r="A64" s="7"/>
      <c r="B64" s="7"/>
      <c r="C64" s="63" t="s">
        <v>257</v>
      </c>
      <c r="D64" s="7"/>
      <c r="E64" s="8"/>
      <c r="F64" s="48"/>
      <c r="G64" s="33"/>
    </row>
    <row r="65" spans="1:7">
      <c r="A65" s="7"/>
      <c r="B65" s="7"/>
      <c r="C65" s="36"/>
      <c r="D65" s="7"/>
      <c r="E65" s="8"/>
      <c r="F65" s="48"/>
      <c r="G65" s="33"/>
    </row>
    <row r="66" spans="1:7" ht="16.2">
      <c r="A66" s="7">
        <v>13</v>
      </c>
      <c r="B66" s="7"/>
      <c r="C66" s="63" t="s">
        <v>258</v>
      </c>
      <c r="D66" s="7" t="s">
        <v>118</v>
      </c>
      <c r="E66" s="8">
        <v>106.56</v>
      </c>
      <c r="F66" s="48">
        <v>13</v>
      </c>
      <c r="G66" s="33">
        <f t="shared" si="0"/>
        <v>1385.28</v>
      </c>
    </row>
    <row r="67" spans="1:7">
      <c r="A67" s="7"/>
      <c r="B67" s="4"/>
      <c r="C67" s="63" t="s">
        <v>259</v>
      </c>
      <c r="D67" s="7"/>
      <c r="E67" s="8"/>
      <c r="F67" s="48"/>
      <c r="G67" s="33"/>
    </row>
    <row r="68" spans="1:7">
      <c r="A68" s="7"/>
      <c r="B68" s="4"/>
      <c r="C68" s="63" t="s">
        <v>264</v>
      </c>
      <c r="D68" s="7"/>
      <c r="E68" s="8"/>
      <c r="F68" s="48"/>
      <c r="G68" s="33"/>
    </row>
    <row r="69" spans="1:7">
      <c r="A69" s="7"/>
      <c r="B69" s="4"/>
      <c r="C69" s="63" t="s">
        <v>263</v>
      </c>
      <c r="D69" s="7"/>
      <c r="E69" s="8"/>
      <c r="F69" s="48"/>
      <c r="G69" s="33"/>
    </row>
    <row r="70" spans="1:7">
      <c r="A70" s="7"/>
      <c r="B70" s="4"/>
      <c r="C70" s="63"/>
      <c r="D70" s="7"/>
      <c r="E70" s="8"/>
      <c r="F70" s="48"/>
      <c r="G70" s="33"/>
    </row>
    <row r="71" spans="1:7">
      <c r="A71" s="7"/>
      <c r="B71" s="4"/>
      <c r="C71" s="63" t="s">
        <v>261</v>
      </c>
      <c r="D71" s="7"/>
      <c r="E71" s="8"/>
      <c r="F71" s="48"/>
      <c r="G71" s="33"/>
    </row>
    <row r="72" spans="1:7">
      <c r="A72" s="7"/>
      <c r="B72" s="4"/>
      <c r="C72" s="63"/>
      <c r="D72" s="7"/>
      <c r="E72" s="8"/>
      <c r="F72" s="48"/>
      <c r="G72" s="33"/>
    </row>
    <row r="73" spans="1:7" ht="16.2">
      <c r="A73" s="7">
        <v>14</v>
      </c>
      <c r="B73" s="4"/>
      <c r="C73" s="63" t="s">
        <v>262</v>
      </c>
      <c r="D73" s="25" t="s">
        <v>113</v>
      </c>
      <c r="E73" s="8">
        <v>45</v>
      </c>
      <c r="F73" s="48">
        <v>1480</v>
      </c>
      <c r="G73" s="33">
        <f t="shared" si="0"/>
        <v>66600</v>
      </c>
    </row>
    <row r="74" spans="1:7">
      <c r="A74" s="7"/>
      <c r="B74" s="4"/>
      <c r="C74" s="63"/>
      <c r="D74" s="7"/>
      <c r="E74" s="8"/>
      <c r="F74" s="48"/>
      <c r="G74" s="33"/>
    </row>
    <row r="75" spans="1:7">
      <c r="A75" s="7"/>
      <c r="B75" s="4"/>
      <c r="C75" s="63" t="s">
        <v>265</v>
      </c>
      <c r="D75" s="7"/>
      <c r="E75" s="8"/>
      <c r="F75" s="48"/>
      <c r="G75" s="33"/>
    </row>
    <row r="76" spans="1:7">
      <c r="A76" s="7"/>
      <c r="B76" s="4"/>
      <c r="C76" s="63"/>
      <c r="D76" s="7"/>
      <c r="E76" s="8"/>
      <c r="F76" s="48"/>
      <c r="G76" s="33"/>
    </row>
    <row r="77" spans="1:7" ht="14.4" thickBot="1">
      <c r="A77" s="141"/>
      <c r="B77" s="141"/>
      <c r="C77" s="142"/>
      <c r="D77" s="141"/>
      <c r="E77" s="143"/>
      <c r="F77" s="144"/>
      <c r="G77" s="145"/>
    </row>
    <row r="78" spans="1:7" ht="14.4" thickBot="1">
      <c r="A78" s="2245" t="s">
        <v>276</v>
      </c>
      <c r="B78" s="2246"/>
      <c r="C78" s="2246"/>
      <c r="D78" s="2246"/>
      <c r="E78" s="2246"/>
      <c r="F78" s="2247"/>
      <c r="G78" s="37">
        <f>SUM(G11:G77)</f>
        <v>83761.23</v>
      </c>
    </row>
    <row r="80" spans="1:7" ht="14.4" thickBot="1"/>
    <row r="81" spans="1:7">
      <c r="A81" s="127" t="s">
        <v>0</v>
      </c>
      <c r="B81" s="127" t="s">
        <v>1</v>
      </c>
      <c r="C81" s="2253" t="s">
        <v>2</v>
      </c>
      <c r="D81" s="2253" t="s">
        <v>3</v>
      </c>
      <c r="E81" s="2255" t="s">
        <v>4</v>
      </c>
      <c r="F81" s="2257" t="s">
        <v>5</v>
      </c>
      <c r="G81" s="2251" t="s">
        <v>6</v>
      </c>
    </row>
    <row r="82" spans="1:7" ht="14.4" thickBot="1">
      <c r="A82" s="128" t="s">
        <v>7</v>
      </c>
      <c r="B82" s="128" t="s">
        <v>8</v>
      </c>
      <c r="C82" s="2254"/>
      <c r="D82" s="2254"/>
      <c r="E82" s="2256"/>
      <c r="F82" s="2258"/>
      <c r="G82" s="2252"/>
    </row>
    <row r="83" spans="1:7" ht="14.4" thickBot="1">
      <c r="A83" s="2145" t="s">
        <v>49</v>
      </c>
      <c r="B83" s="2145"/>
      <c r="C83" s="2145"/>
      <c r="D83" s="2145"/>
      <c r="E83" s="2145"/>
      <c r="F83" s="2145"/>
      <c r="G83" s="126">
        <f>G78</f>
        <v>83761.23</v>
      </c>
    </row>
    <row r="84" spans="1:7">
      <c r="A84" s="57"/>
      <c r="B84" s="74"/>
      <c r="C84" s="58"/>
      <c r="D84" s="57"/>
      <c r="E84" s="90"/>
      <c r="F84" s="60"/>
      <c r="G84" s="83"/>
    </row>
    <row r="85" spans="1:7">
      <c r="A85" s="7">
        <v>15</v>
      </c>
      <c r="B85" s="4"/>
      <c r="C85" s="63" t="s">
        <v>266</v>
      </c>
      <c r="D85" s="7" t="s">
        <v>271</v>
      </c>
      <c r="E85" s="8">
        <v>1</v>
      </c>
      <c r="F85" s="48">
        <v>270</v>
      </c>
      <c r="G85" s="33">
        <f>E85*F85</f>
        <v>270</v>
      </c>
    </row>
    <row r="86" spans="1:7">
      <c r="A86" s="7"/>
      <c r="B86" s="4"/>
      <c r="C86" s="63" t="s">
        <v>267</v>
      </c>
      <c r="D86" s="7"/>
      <c r="E86" s="8"/>
      <c r="F86" s="48"/>
      <c r="G86" s="33"/>
    </row>
    <row r="87" spans="1:7">
      <c r="A87" s="7"/>
      <c r="B87" s="4"/>
      <c r="C87" s="63" t="s">
        <v>269</v>
      </c>
      <c r="D87" s="7"/>
      <c r="E87" s="8"/>
      <c r="F87" s="48"/>
      <c r="G87" s="33"/>
    </row>
    <row r="88" spans="1:7">
      <c r="A88" s="7"/>
      <c r="B88" s="4"/>
      <c r="C88" s="63" t="s">
        <v>270</v>
      </c>
      <c r="D88" s="7"/>
      <c r="E88" s="8"/>
      <c r="F88" s="48"/>
      <c r="G88" s="33"/>
    </row>
    <row r="89" spans="1:7">
      <c r="A89" s="7"/>
      <c r="B89" s="4"/>
      <c r="C89" s="63"/>
      <c r="D89" s="7"/>
      <c r="E89" s="8"/>
      <c r="F89" s="48"/>
      <c r="G89" s="33"/>
    </row>
    <row r="90" spans="1:7">
      <c r="A90" s="7"/>
      <c r="B90" s="4"/>
      <c r="C90" s="63" t="s">
        <v>272</v>
      </c>
      <c r="D90" s="7"/>
      <c r="E90" s="8"/>
      <c r="F90" s="48"/>
      <c r="G90" s="33"/>
    </row>
    <row r="91" spans="1:7">
      <c r="A91" s="7"/>
      <c r="B91" s="4"/>
      <c r="C91" s="63"/>
      <c r="D91" s="7"/>
      <c r="E91" s="8"/>
      <c r="F91" s="48"/>
      <c r="G91" s="33"/>
    </row>
    <row r="92" spans="1:7" ht="16.2">
      <c r="A92" s="7">
        <v>16</v>
      </c>
      <c r="B92" s="4"/>
      <c r="C92" s="63" t="s">
        <v>275</v>
      </c>
      <c r="D92" s="7" t="s">
        <v>118</v>
      </c>
      <c r="E92" s="8">
        <v>36.840000000000003</v>
      </c>
      <c r="F92" s="48">
        <v>480</v>
      </c>
      <c r="G92" s="33">
        <f>E92*F92</f>
        <v>17683.2</v>
      </c>
    </row>
    <row r="93" spans="1:7">
      <c r="A93" s="7"/>
      <c r="B93" s="4"/>
      <c r="C93" s="63"/>
      <c r="D93" s="7"/>
      <c r="E93" s="91"/>
      <c r="F93" s="48"/>
      <c r="G93" s="33"/>
    </row>
    <row r="94" spans="1:7">
      <c r="A94" s="7"/>
      <c r="B94" s="7"/>
      <c r="C94" s="63" t="s">
        <v>259</v>
      </c>
      <c r="D94" s="7"/>
      <c r="E94" s="91"/>
      <c r="F94" s="77"/>
      <c r="G94" s="86"/>
    </row>
    <row r="95" spans="1:7">
      <c r="A95" s="7"/>
      <c r="B95" s="71"/>
      <c r="C95" s="63"/>
      <c r="D95" s="76"/>
      <c r="E95" s="91"/>
      <c r="F95" s="76"/>
      <c r="G95" s="84"/>
    </row>
    <row r="96" spans="1:7">
      <c r="A96" s="7"/>
      <c r="B96" s="71"/>
      <c r="C96" s="63" t="s">
        <v>278</v>
      </c>
      <c r="D96" s="76"/>
      <c r="E96" s="92"/>
      <c r="F96" s="78"/>
      <c r="G96" s="86"/>
    </row>
    <row r="97" spans="1:7">
      <c r="A97" s="7"/>
      <c r="B97" s="71"/>
      <c r="C97" s="63"/>
      <c r="D97" s="76"/>
      <c r="E97" s="92"/>
      <c r="F97" s="78"/>
      <c r="G97" s="86"/>
    </row>
    <row r="98" spans="1:7" ht="16.2">
      <c r="A98" s="7">
        <v>17</v>
      </c>
      <c r="B98" s="71"/>
      <c r="C98" s="63" t="s">
        <v>279</v>
      </c>
      <c r="D98" s="25" t="s">
        <v>113</v>
      </c>
      <c r="E98" s="92">
        <v>7.47</v>
      </c>
      <c r="F98" s="79">
        <v>1350</v>
      </c>
      <c r="G98" s="86">
        <f>E98*F98</f>
        <v>10084.5</v>
      </c>
    </row>
    <row r="99" spans="1:7" ht="16.2">
      <c r="A99" s="7">
        <v>18</v>
      </c>
      <c r="B99" s="71"/>
      <c r="C99" s="62" t="s">
        <v>280</v>
      </c>
      <c r="D99" s="25" t="s">
        <v>113</v>
      </c>
      <c r="E99" s="91">
        <v>0.36</v>
      </c>
      <c r="F99" s="77">
        <v>1350</v>
      </c>
      <c r="G99" s="86">
        <f>E99*F99</f>
        <v>486</v>
      </c>
    </row>
    <row r="100" spans="1:7">
      <c r="A100" s="7"/>
      <c r="B100" s="71"/>
      <c r="C100" s="63"/>
      <c r="D100" s="76"/>
      <c r="E100" s="91"/>
      <c r="F100" s="76"/>
      <c r="G100" s="86"/>
    </row>
    <row r="101" spans="1:7">
      <c r="A101" s="7"/>
      <c r="B101" s="71"/>
      <c r="C101" s="63" t="s">
        <v>281</v>
      </c>
      <c r="D101" s="76"/>
      <c r="E101" s="92"/>
      <c r="F101" s="78"/>
      <c r="G101" s="86"/>
    </row>
    <row r="102" spans="1:7">
      <c r="A102" s="7"/>
      <c r="B102" s="71"/>
      <c r="C102" s="64"/>
      <c r="D102" s="80"/>
      <c r="E102" s="93"/>
      <c r="F102" s="81"/>
      <c r="G102" s="86"/>
    </row>
    <row r="103" spans="1:7" ht="16.2">
      <c r="A103" s="7">
        <v>19</v>
      </c>
      <c r="B103" s="71"/>
      <c r="C103" s="63" t="s">
        <v>282</v>
      </c>
      <c r="D103" s="7" t="s">
        <v>118</v>
      </c>
      <c r="E103" s="138">
        <v>49.81</v>
      </c>
      <c r="F103" s="77">
        <v>52</v>
      </c>
      <c r="G103" s="86">
        <f t="shared" ref="G103:G138" si="1">E103*F103</f>
        <v>2590.12</v>
      </c>
    </row>
    <row r="104" spans="1:7">
      <c r="A104" s="7"/>
      <c r="B104" s="71"/>
      <c r="C104" s="63"/>
      <c r="D104" s="76"/>
      <c r="E104" s="92"/>
      <c r="F104" s="77"/>
      <c r="G104" s="86"/>
    </row>
    <row r="105" spans="1:7">
      <c r="A105" s="7">
        <v>20</v>
      </c>
      <c r="B105" s="71"/>
      <c r="C105" s="63" t="s">
        <v>283</v>
      </c>
      <c r="D105" s="76"/>
      <c r="E105" s="92"/>
      <c r="F105" s="78"/>
      <c r="G105" s="86"/>
    </row>
    <row r="106" spans="1:7">
      <c r="A106" s="7"/>
      <c r="B106" s="71"/>
      <c r="C106" s="63"/>
      <c r="D106" s="76"/>
      <c r="E106" s="92"/>
      <c r="F106" s="78"/>
      <c r="G106" s="86"/>
    </row>
    <row r="107" spans="1:7">
      <c r="A107" s="4"/>
      <c r="B107" s="13"/>
      <c r="C107" s="63" t="s">
        <v>284</v>
      </c>
      <c r="D107" s="7"/>
      <c r="E107" s="8"/>
      <c r="F107" s="6"/>
      <c r="G107" s="86"/>
    </row>
    <row r="108" spans="1:7">
      <c r="A108" s="7"/>
      <c r="B108" s="75"/>
      <c r="C108" s="66"/>
      <c r="D108" s="14"/>
      <c r="E108" s="8"/>
      <c r="F108" s="6"/>
      <c r="G108" s="86"/>
    </row>
    <row r="109" spans="1:7" ht="16.2">
      <c r="A109" s="7">
        <v>21</v>
      </c>
      <c r="B109" s="13"/>
      <c r="C109" s="63" t="s">
        <v>285</v>
      </c>
      <c r="D109" s="7" t="s">
        <v>118</v>
      </c>
      <c r="E109" s="8">
        <v>49.81</v>
      </c>
      <c r="F109" s="87">
        <v>35</v>
      </c>
      <c r="G109" s="86">
        <f t="shared" si="1"/>
        <v>1743.3500000000001</v>
      </c>
    </row>
    <row r="110" spans="1:7" ht="16.2">
      <c r="A110" s="7">
        <v>22</v>
      </c>
      <c r="B110" s="75"/>
      <c r="C110" s="63" t="s">
        <v>286</v>
      </c>
      <c r="D110" s="7" t="s">
        <v>118</v>
      </c>
      <c r="E110" s="8">
        <v>2.4</v>
      </c>
      <c r="F110" s="87">
        <v>35</v>
      </c>
      <c r="G110" s="86">
        <f t="shared" si="1"/>
        <v>84</v>
      </c>
    </row>
    <row r="111" spans="1:7">
      <c r="A111" s="7"/>
      <c r="B111" s="13"/>
      <c r="C111" s="5"/>
      <c r="D111" s="7"/>
      <c r="E111" s="8"/>
      <c r="F111" s="15"/>
      <c r="G111" s="86"/>
    </row>
    <row r="112" spans="1:7">
      <c r="A112" s="4"/>
      <c r="B112" s="75"/>
      <c r="C112" s="63" t="s">
        <v>265</v>
      </c>
      <c r="D112" s="7"/>
      <c r="E112" s="8"/>
      <c r="F112" s="6"/>
      <c r="G112" s="86"/>
    </row>
    <row r="113" spans="1:7">
      <c r="A113" s="7"/>
      <c r="B113" s="75"/>
      <c r="C113" s="65"/>
      <c r="D113" s="7"/>
      <c r="E113" s="8"/>
      <c r="F113" s="6"/>
      <c r="G113" s="86"/>
    </row>
    <row r="114" spans="1:7">
      <c r="A114" s="7">
        <v>23</v>
      </c>
      <c r="B114" s="13"/>
      <c r="C114" s="63" t="s">
        <v>266</v>
      </c>
      <c r="D114" s="14" t="s">
        <v>271</v>
      </c>
      <c r="E114" s="8">
        <v>4</v>
      </c>
      <c r="F114" s="6">
        <v>270</v>
      </c>
      <c r="G114" s="86">
        <f t="shared" si="1"/>
        <v>1080</v>
      </c>
    </row>
    <row r="115" spans="1:7">
      <c r="A115" s="7"/>
      <c r="B115" s="75"/>
      <c r="C115" s="63" t="s">
        <v>267</v>
      </c>
      <c r="D115" s="7"/>
      <c r="E115" s="8"/>
      <c r="F115" s="6"/>
      <c r="G115" s="86"/>
    </row>
    <row r="116" spans="1:7">
      <c r="A116" s="7"/>
      <c r="B116" s="13"/>
      <c r="C116" s="63" t="s">
        <v>268</v>
      </c>
      <c r="D116" s="7"/>
      <c r="E116" s="8"/>
      <c r="F116" s="6"/>
      <c r="G116" s="86"/>
    </row>
    <row r="117" spans="1:7">
      <c r="A117" s="7"/>
      <c r="B117" s="75"/>
      <c r="C117" s="63" t="s">
        <v>287</v>
      </c>
      <c r="D117" s="7"/>
      <c r="E117" s="8"/>
      <c r="F117" s="6"/>
      <c r="G117" s="86"/>
    </row>
    <row r="118" spans="1:7">
      <c r="A118" s="7"/>
      <c r="B118" s="13"/>
      <c r="C118" s="5"/>
      <c r="D118" s="7"/>
      <c r="E118" s="8"/>
      <c r="F118" s="6"/>
      <c r="G118" s="86"/>
    </row>
    <row r="119" spans="1:7">
      <c r="A119" s="7"/>
      <c r="B119" s="75"/>
      <c r="C119" s="63" t="s">
        <v>289</v>
      </c>
      <c r="D119" s="7"/>
      <c r="E119" s="8"/>
      <c r="F119" s="16"/>
      <c r="G119" s="86"/>
    </row>
    <row r="120" spans="1:7">
      <c r="A120" s="7"/>
      <c r="B120" s="75"/>
      <c r="C120" s="5"/>
      <c r="D120" s="7"/>
      <c r="E120" s="8"/>
      <c r="F120" s="49"/>
      <c r="G120" s="86"/>
    </row>
    <row r="121" spans="1:7">
      <c r="A121" s="7"/>
      <c r="B121" s="75"/>
      <c r="C121" s="63" t="s">
        <v>273</v>
      </c>
      <c r="D121" s="7"/>
      <c r="E121" s="8"/>
      <c r="F121" s="49"/>
      <c r="G121" s="86"/>
    </row>
    <row r="122" spans="1:7">
      <c r="A122" s="7"/>
      <c r="B122" s="75"/>
      <c r="C122" s="5"/>
      <c r="D122" s="7"/>
      <c r="E122" s="8"/>
      <c r="F122" s="16"/>
      <c r="G122" s="86"/>
    </row>
    <row r="123" spans="1:7" ht="16.2">
      <c r="A123" s="7">
        <v>24</v>
      </c>
      <c r="B123" s="13"/>
      <c r="C123" s="63" t="s">
        <v>290</v>
      </c>
      <c r="D123" s="7" t="s">
        <v>118</v>
      </c>
      <c r="E123" s="8">
        <v>37.24</v>
      </c>
      <c r="F123" s="16">
        <v>340</v>
      </c>
      <c r="G123" s="86">
        <f t="shared" si="1"/>
        <v>12661.6</v>
      </c>
    </row>
    <row r="124" spans="1:7" ht="16.2">
      <c r="A124" s="7">
        <v>25</v>
      </c>
      <c r="B124" s="75"/>
      <c r="C124" s="63" t="s">
        <v>291</v>
      </c>
      <c r="D124" s="7" t="s">
        <v>118</v>
      </c>
      <c r="E124" s="8">
        <v>90.54</v>
      </c>
      <c r="F124" s="16">
        <v>480</v>
      </c>
      <c r="G124" s="86">
        <f t="shared" si="1"/>
        <v>43459.200000000004</v>
      </c>
    </row>
    <row r="125" spans="1:7">
      <c r="A125" s="7"/>
      <c r="B125" s="75"/>
      <c r="C125" s="5"/>
      <c r="D125" s="7"/>
      <c r="E125" s="8"/>
      <c r="F125" s="16"/>
      <c r="G125" s="86"/>
    </row>
    <row r="126" spans="1:7">
      <c r="A126" s="7"/>
      <c r="B126" s="13"/>
      <c r="C126" s="63" t="s">
        <v>292</v>
      </c>
      <c r="D126" s="47"/>
      <c r="E126" s="8"/>
      <c r="F126" s="16"/>
      <c r="G126" s="86"/>
    </row>
    <row r="127" spans="1:7" ht="16.2">
      <c r="A127" s="7">
        <v>26</v>
      </c>
      <c r="B127" s="75"/>
      <c r="C127" s="63" t="s">
        <v>293</v>
      </c>
      <c r="D127" s="7" t="s">
        <v>118</v>
      </c>
      <c r="E127" s="8">
        <v>141.5</v>
      </c>
      <c r="F127" s="16">
        <v>3.5</v>
      </c>
      <c r="G127" s="86">
        <f t="shared" si="1"/>
        <v>495.25</v>
      </c>
    </row>
    <row r="128" spans="1:7" ht="16.2">
      <c r="A128" s="7">
        <v>27</v>
      </c>
      <c r="B128" s="13"/>
      <c r="C128" s="63" t="s">
        <v>294</v>
      </c>
      <c r="D128" s="7" t="s">
        <v>118</v>
      </c>
      <c r="E128" s="8">
        <v>141.5</v>
      </c>
      <c r="F128" s="49">
        <v>7</v>
      </c>
      <c r="G128" s="86">
        <f t="shared" si="1"/>
        <v>990.5</v>
      </c>
    </row>
    <row r="129" spans="1:7">
      <c r="A129" s="7"/>
      <c r="B129" s="75"/>
      <c r="C129" s="5"/>
      <c r="D129" s="7"/>
      <c r="E129" s="8"/>
      <c r="F129" s="16"/>
      <c r="G129" s="86"/>
    </row>
    <row r="130" spans="1:7">
      <c r="A130" s="4"/>
      <c r="B130" s="13"/>
      <c r="C130" s="63" t="s">
        <v>295</v>
      </c>
      <c r="D130" s="7"/>
      <c r="E130" s="8"/>
      <c r="F130" s="16"/>
      <c r="G130" s="86"/>
    </row>
    <row r="131" spans="1:7">
      <c r="A131" s="7">
        <v>28</v>
      </c>
      <c r="B131" s="75"/>
      <c r="C131" s="63" t="s">
        <v>296</v>
      </c>
      <c r="D131" s="7" t="s">
        <v>136</v>
      </c>
      <c r="E131" s="8">
        <v>2</v>
      </c>
      <c r="F131" s="16">
        <v>65</v>
      </c>
      <c r="G131" s="86">
        <f t="shared" si="1"/>
        <v>130</v>
      </c>
    </row>
    <row r="132" spans="1:7">
      <c r="A132" s="7"/>
      <c r="B132" s="75"/>
      <c r="C132" s="5"/>
      <c r="D132" s="7"/>
      <c r="E132" s="8"/>
      <c r="F132" s="16"/>
      <c r="G132" s="86">
        <f t="shared" si="1"/>
        <v>0</v>
      </c>
    </row>
    <row r="133" spans="1:7">
      <c r="A133" s="7"/>
      <c r="B133" s="13"/>
      <c r="C133" s="63" t="s">
        <v>297</v>
      </c>
      <c r="D133" s="7"/>
      <c r="E133" s="8"/>
      <c r="F133" s="16"/>
      <c r="G133" s="86">
        <f t="shared" si="1"/>
        <v>0</v>
      </c>
    </row>
    <row r="134" spans="1:7">
      <c r="A134" s="7">
        <v>29</v>
      </c>
      <c r="B134" s="75"/>
      <c r="C134" s="63" t="s">
        <v>298</v>
      </c>
      <c r="D134" s="7" t="s">
        <v>148</v>
      </c>
      <c r="E134" s="8">
        <v>8</v>
      </c>
      <c r="F134" s="16">
        <v>165</v>
      </c>
      <c r="G134" s="86">
        <f t="shared" si="1"/>
        <v>1320</v>
      </c>
    </row>
    <row r="135" spans="1:7">
      <c r="A135" s="7"/>
      <c r="B135" s="75"/>
      <c r="C135" s="63" t="s">
        <v>299</v>
      </c>
      <c r="D135" s="7"/>
      <c r="E135" s="8"/>
      <c r="F135" s="16"/>
      <c r="G135" s="86"/>
    </row>
    <row r="136" spans="1:7">
      <c r="A136" s="7"/>
      <c r="B136" s="75"/>
      <c r="C136" s="5"/>
      <c r="D136" s="7"/>
      <c r="E136" s="8"/>
      <c r="F136" s="16"/>
      <c r="G136" s="86"/>
    </row>
    <row r="137" spans="1:7">
      <c r="A137" s="7"/>
      <c r="B137" s="75"/>
      <c r="C137" s="63" t="s">
        <v>300</v>
      </c>
      <c r="D137" s="7"/>
      <c r="E137" s="8"/>
      <c r="F137" s="16"/>
      <c r="G137" s="86"/>
    </row>
    <row r="138" spans="1:7">
      <c r="A138" s="7">
        <v>30</v>
      </c>
      <c r="B138" s="75"/>
      <c r="C138" s="63" t="s">
        <v>301</v>
      </c>
      <c r="D138" s="7" t="s">
        <v>305</v>
      </c>
      <c r="E138" s="8">
        <v>16</v>
      </c>
      <c r="F138" s="16">
        <v>25</v>
      </c>
      <c r="G138" s="86">
        <f t="shared" si="1"/>
        <v>400</v>
      </c>
    </row>
    <row r="139" spans="1:7">
      <c r="A139" s="8"/>
      <c r="B139" s="13"/>
      <c r="C139" s="63" t="s">
        <v>302</v>
      </c>
      <c r="D139" s="7"/>
      <c r="E139" s="8"/>
      <c r="F139" s="49"/>
      <c r="G139" s="86"/>
    </row>
    <row r="140" spans="1:7">
      <c r="A140" s="7"/>
      <c r="B140" s="75"/>
      <c r="C140" s="63" t="s">
        <v>303</v>
      </c>
      <c r="D140" s="7"/>
      <c r="E140" s="8"/>
      <c r="F140" s="49"/>
      <c r="G140" s="86"/>
    </row>
    <row r="141" spans="1:7">
      <c r="A141" s="7"/>
      <c r="B141" s="75"/>
      <c r="C141" s="63" t="s">
        <v>304</v>
      </c>
      <c r="D141" s="7"/>
      <c r="E141" s="8"/>
      <c r="F141" s="49"/>
      <c r="G141" s="86"/>
    </row>
    <row r="142" spans="1:7">
      <c r="A142" s="7"/>
      <c r="B142" s="75"/>
      <c r="C142" s="63" t="s">
        <v>306</v>
      </c>
      <c r="D142" s="7"/>
      <c r="E142" s="8"/>
      <c r="F142" s="49"/>
      <c r="G142" s="86"/>
    </row>
    <row r="143" spans="1:7">
      <c r="A143" s="7"/>
      <c r="B143" s="13"/>
      <c r="C143" s="63" t="s">
        <v>307</v>
      </c>
      <c r="D143" s="7"/>
      <c r="E143" s="8"/>
      <c r="F143" s="49"/>
      <c r="G143" s="86"/>
    </row>
    <row r="144" spans="1:7">
      <c r="A144" s="7"/>
      <c r="B144" s="75"/>
      <c r="C144" s="63" t="s">
        <v>308</v>
      </c>
      <c r="D144" s="7"/>
      <c r="E144" s="8"/>
      <c r="F144" s="49"/>
      <c r="G144" s="86"/>
    </row>
    <row r="145" spans="1:7">
      <c r="A145" s="7"/>
      <c r="B145" s="75"/>
      <c r="C145" s="63" t="s">
        <v>309</v>
      </c>
      <c r="D145" s="7"/>
      <c r="E145" s="8"/>
      <c r="F145" s="49"/>
      <c r="G145" s="86"/>
    </row>
    <row r="146" spans="1:7">
      <c r="A146" s="7"/>
      <c r="B146" s="75"/>
      <c r="C146" s="63" t="s">
        <v>310</v>
      </c>
      <c r="D146" s="7"/>
      <c r="E146" s="8"/>
      <c r="F146" s="49"/>
      <c r="G146" s="86"/>
    </row>
    <row r="147" spans="1:7">
      <c r="A147" s="7"/>
      <c r="B147" s="75"/>
      <c r="C147" s="63" t="s">
        <v>311</v>
      </c>
      <c r="D147" s="7"/>
      <c r="E147" s="8"/>
      <c r="F147" s="49"/>
      <c r="G147" s="86"/>
    </row>
    <row r="148" spans="1:7">
      <c r="A148" s="7"/>
      <c r="B148" s="75"/>
      <c r="C148" s="63" t="s">
        <v>312</v>
      </c>
      <c r="D148" s="7"/>
      <c r="E148" s="8"/>
      <c r="F148" s="49"/>
      <c r="G148" s="86"/>
    </row>
    <row r="149" spans="1:7" ht="14.4" thickBot="1">
      <c r="A149" s="141"/>
      <c r="B149" s="146"/>
      <c r="C149" s="147"/>
      <c r="D149" s="141"/>
      <c r="E149" s="143"/>
      <c r="F149" s="144"/>
      <c r="G149" s="154"/>
    </row>
    <row r="150" spans="1:7" ht="14.4" thickBot="1">
      <c r="A150" s="2137" t="s">
        <v>48</v>
      </c>
      <c r="B150" s="2138"/>
      <c r="C150" s="2138"/>
      <c r="D150" s="2138"/>
      <c r="E150" s="2141"/>
      <c r="F150" s="50"/>
      <c r="G150" s="17">
        <f>SUM(G83:G149)</f>
        <v>177238.95</v>
      </c>
    </row>
    <row r="151" spans="1:7" ht="14.4" thickBot="1"/>
    <row r="152" spans="1:7">
      <c r="A152" s="127" t="s">
        <v>0</v>
      </c>
      <c r="B152" s="127" t="s">
        <v>1</v>
      </c>
      <c r="C152" s="2253" t="s">
        <v>2</v>
      </c>
      <c r="D152" s="2253" t="s">
        <v>3</v>
      </c>
      <c r="E152" s="2255" t="s">
        <v>4</v>
      </c>
      <c r="F152" s="2257" t="s">
        <v>5</v>
      </c>
      <c r="G152" s="2251" t="s">
        <v>6</v>
      </c>
    </row>
    <row r="153" spans="1:7" ht="14.4" thickBot="1">
      <c r="A153" s="128" t="s">
        <v>7</v>
      </c>
      <c r="B153" s="128" t="s">
        <v>8</v>
      </c>
      <c r="C153" s="2254"/>
      <c r="D153" s="2254"/>
      <c r="E153" s="2256"/>
      <c r="F153" s="2258"/>
      <c r="G153" s="2252"/>
    </row>
    <row r="154" spans="1:7" ht="14.4" thickBot="1">
      <c r="A154" s="2145" t="s">
        <v>49</v>
      </c>
      <c r="B154" s="2145"/>
      <c r="C154" s="2145"/>
      <c r="D154" s="2145"/>
      <c r="E154" s="2145"/>
      <c r="F154" s="2145"/>
      <c r="G154" s="126">
        <f>G150</f>
        <v>177238.95</v>
      </c>
    </row>
    <row r="155" spans="1:7">
      <c r="A155" s="57"/>
      <c r="B155" s="74"/>
      <c r="C155" s="58"/>
      <c r="D155" s="57"/>
      <c r="E155" s="90"/>
      <c r="F155" s="90"/>
      <c r="G155" s="83"/>
    </row>
    <row r="156" spans="1:7">
      <c r="A156" s="7">
        <v>31</v>
      </c>
      <c r="B156" s="75"/>
      <c r="C156" s="63" t="s">
        <v>313</v>
      </c>
      <c r="D156" s="7" t="s">
        <v>136</v>
      </c>
      <c r="E156" s="8">
        <v>5</v>
      </c>
      <c r="F156" s="49">
        <v>150</v>
      </c>
      <c r="G156" s="86">
        <f>E156*F156</f>
        <v>750</v>
      </c>
    </row>
    <row r="157" spans="1:7">
      <c r="A157" s="7"/>
      <c r="B157" s="7"/>
      <c r="C157" s="63" t="s">
        <v>314</v>
      </c>
      <c r="D157" s="7"/>
      <c r="E157" s="91"/>
      <c r="F157" s="95"/>
      <c r="G157" s="86"/>
    </row>
    <row r="158" spans="1:7">
      <c r="A158" s="7"/>
      <c r="B158" s="71"/>
      <c r="C158" s="63"/>
      <c r="D158" s="76"/>
      <c r="E158" s="91"/>
      <c r="F158" s="91"/>
      <c r="G158" s="84"/>
    </row>
    <row r="159" spans="1:7">
      <c r="A159" s="7"/>
      <c r="B159" s="71"/>
      <c r="C159" s="63" t="s">
        <v>315</v>
      </c>
      <c r="D159" s="76"/>
      <c r="E159" s="92"/>
      <c r="F159" s="94"/>
      <c r="G159" s="86"/>
    </row>
    <row r="160" spans="1:7">
      <c r="A160" s="7"/>
      <c r="B160" s="71"/>
      <c r="C160" s="63" t="s">
        <v>316</v>
      </c>
      <c r="D160" s="76"/>
      <c r="E160" s="92"/>
      <c r="F160" s="94"/>
      <c r="G160" s="86"/>
    </row>
    <row r="161" spans="1:7">
      <c r="A161" s="7"/>
      <c r="B161" s="71"/>
      <c r="C161" s="63" t="s">
        <v>317</v>
      </c>
      <c r="D161" s="25"/>
      <c r="E161" s="92"/>
      <c r="F161" s="91"/>
      <c r="G161" s="86"/>
    </row>
    <row r="162" spans="1:7" ht="16.2">
      <c r="A162" s="7">
        <v>32</v>
      </c>
      <c r="B162" s="71"/>
      <c r="C162" s="63" t="s">
        <v>318</v>
      </c>
      <c r="D162" s="7" t="s">
        <v>118</v>
      </c>
      <c r="E162" s="138">
        <f>14*0.27</f>
        <v>3.7800000000000002</v>
      </c>
      <c r="F162" s="94">
        <v>27</v>
      </c>
      <c r="G162" s="86">
        <f>E162*F162</f>
        <v>102.06</v>
      </c>
    </row>
    <row r="163" spans="1:7">
      <c r="A163" s="7"/>
      <c r="B163" s="71"/>
      <c r="C163" s="63"/>
      <c r="D163" s="76"/>
      <c r="E163" s="92"/>
      <c r="F163" s="94"/>
      <c r="G163" s="86"/>
    </row>
    <row r="164" spans="1:7">
      <c r="A164" s="7"/>
      <c r="B164" s="71"/>
      <c r="C164" s="63" t="s">
        <v>319</v>
      </c>
      <c r="D164" s="80"/>
      <c r="E164" s="93"/>
      <c r="F164" s="93"/>
      <c r="G164" s="86"/>
    </row>
    <row r="165" spans="1:7">
      <c r="A165" s="7"/>
      <c r="B165" s="71"/>
      <c r="C165" s="63" t="s">
        <v>320</v>
      </c>
      <c r="D165" s="7"/>
      <c r="E165" s="138"/>
      <c r="F165" s="95"/>
      <c r="G165" s="86"/>
    </row>
    <row r="166" spans="1:7">
      <c r="A166" s="7"/>
      <c r="B166" s="71"/>
      <c r="C166" s="63" t="s">
        <v>321</v>
      </c>
      <c r="D166" s="7"/>
      <c r="E166" s="92"/>
      <c r="F166" s="95"/>
      <c r="G166" s="86"/>
    </row>
    <row r="167" spans="1:7" ht="16.2">
      <c r="A167" s="7">
        <v>33</v>
      </c>
      <c r="B167" s="71"/>
      <c r="C167" s="63" t="s">
        <v>322</v>
      </c>
      <c r="D167" s="7" t="s">
        <v>118</v>
      </c>
      <c r="E167" s="138">
        <v>49.81</v>
      </c>
      <c r="F167" s="94">
        <v>27</v>
      </c>
      <c r="G167" s="86">
        <f t="shared" ref="G167:G215" si="2">E167*F167</f>
        <v>1344.8700000000001</v>
      </c>
    </row>
    <row r="168" spans="1:7" ht="16.2">
      <c r="A168" s="7">
        <v>34</v>
      </c>
      <c r="B168" s="71"/>
      <c r="C168" s="63" t="s">
        <v>323</v>
      </c>
      <c r="D168" s="7" t="s">
        <v>118</v>
      </c>
      <c r="E168" s="92">
        <v>65.8</v>
      </c>
      <c r="F168" s="94">
        <v>27</v>
      </c>
      <c r="G168" s="86">
        <f t="shared" si="2"/>
        <v>1776.6</v>
      </c>
    </row>
    <row r="169" spans="1:7">
      <c r="A169" s="4"/>
      <c r="B169" s="13"/>
      <c r="C169" s="63"/>
      <c r="D169" s="7"/>
      <c r="E169" s="8"/>
      <c r="F169" s="87"/>
      <c r="G169" s="86"/>
    </row>
    <row r="170" spans="1:7">
      <c r="A170" s="7"/>
      <c r="B170" s="75"/>
      <c r="C170" s="63" t="s">
        <v>324</v>
      </c>
      <c r="D170" s="14"/>
      <c r="E170" s="8"/>
      <c r="F170" s="87"/>
      <c r="G170" s="86"/>
    </row>
    <row r="171" spans="1:7">
      <c r="A171" s="7"/>
      <c r="B171" s="13"/>
      <c r="C171" s="63"/>
      <c r="D171" s="7"/>
      <c r="E171" s="8"/>
      <c r="F171" s="87"/>
      <c r="G171" s="86"/>
    </row>
    <row r="172" spans="1:7">
      <c r="A172" s="7"/>
      <c r="B172" s="75"/>
      <c r="C172" s="63" t="s">
        <v>325</v>
      </c>
      <c r="D172" s="7"/>
      <c r="E172" s="8"/>
      <c r="F172" s="87"/>
      <c r="G172" s="86"/>
    </row>
    <row r="173" spans="1:7">
      <c r="A173" s="7"/>
      <c r="B173" s="13"/>
      <c r="C173" s="5"/>
      <c r="D173" s="7"/>
      <c r="E173" s="8"/>
      <c r="F173" s="87"/>
      <c r="G173" s="86"/>
    </row>
    <row r="174" spans="1:7">
      <c r="A174" s="4"/>
      <c r="B174" s="75"/>
      <c r="C174" s="63" t="s">
        <v>326</v>
      </c>
      <c r="D174" s="7"/>
      <c r="E174" s="8"/>
      <c r="F174" s="87"/>
      <c r="G174" s="86"/>
    </row>
    <row r="175" spans="1:7">
      <c r="A175" s="7">
        <v>35</v>
      </c>
      <c r="B175" s="75"/>
      <c r="C175" s="63" t="s">
        <v>327</v>
      </c>
      <c r="D175" s="7" t="s">
        <v>136</v>
      </c>
      <c r="E175" s="8">
        <v>15.15</v>
      </c>
      <c r="F175" s="87">
        <v>48</v>
      </c>
      <c r="G175" s="86">
        <f t="shared" si="2"/>
        <v>727.2</v>
      </c>
    </row>
    <row r="176" spans="1:7">
      <c r="A176" s="7"/>
      <c r="B176" s="13"/>
      <c r="C176" s="63"/>
      <c r="D176" s="14"/>
      <c r="E176" s="8"/>
      <c r="F176" s="87"/>
      <c r="G176" s="86"/>
    </row>
    <row r="177" spans="1:7">
      <c r="A177" s="7"/>
      <c r="B177" s="75"/>
      <c r="C177" s="63" t="s">
        <v>328</v>
      </c>
      <c r="D177" s="7"/>
      <c r="E177" s="8"/>
      <c r="F177" s="87"/>
      <c r="G177" s="86"/>
    </row>
    <row r="178" spans="1:7">
      <c r="A178" s="7">
        <v>36</v>
      </c>
      <c r="B178" s="13"/>
      <c r="C178" s="63" t="s">
        <v>329</v>
      </c>
      <c r="D178" s="7" t="s">
        <v>136</v>
      </c>
      <c r="E178" s="8">
        <v>26.8</v>
      </c>
      <c r="F178" s="87">
        <v>28</v>
      </c>
      <c r="G178" s="86">
        <f t="shared" si="2"/>
        <v>750.4</v>
      </c>
    </row>
    <row r="179" spans="1:7">
      <c r="A179" s="7"/>
      <c r="B179" s="75"/>
      <c r="C179" s="63" t="s">
        <v>330</v>
      </c>
      <c r="D179" s="7"/>
      <c r="E179" s="8"/>
      <c r="F179" s="87"/>
      <c r="G179" s="86"/>
    </row>
    <row r="180" spans="1:7">
      <c r="A180" s="7"/>
      <c r="B180" s="75"/>
      <c r="C180" s="63"/>
      <c r="D180" s="7"/>
      <c r="E180" s="8"/>
      <c r="F180" s="87"/>
      <c r="G180" s="86"/>
    </row>
    <row r="181" spans="1:7">
      <c r="A181" s="7"/>
      <c r="B181" s="13"/>
      <c r="C181" s="63" t="s">
        <v>331</v>
      </c>
      <c r="D181" s="7"/>
      <c r="E181" s="8"/>
      <c r="F181" s="87"/>
      <c r="G181" s="86"/>
    </row>
    <row r="182" spans="1:7">
      <c r="A182" s="7">
        <v>37</v>
      </c>
      <c r="B182" s="75"/>
      <c r="C182" s="63" t="s">
        <v>332</v>
      </c>
      <c r="D182" s="7" t="s">
        <v>136</v>
      </c>
      <c r="E182" s="8">
        <v>15.15</v>
      </c>
      <c r="F182" s="96">
        <v>110</v>
      </c>
      <c r="G182" s="86">
        <f t="shared" si="2"/>
        <v>1666.5</v>
      </c>
    </row>
    <row r="183" spans="1:7">
      <c r="A183" s="7"/>
      <c r="B183" s="75"/>
      <c r="C183" s="63" t="s">
        <v>333</v>
      </c>
      <c r="D183" s="7"/>
      <c r="E183" s="8"/>
      <c r="F183" s="97"/>
      <c r="G183" s="86"/>
    </row>
    <row r="184" spans="1:7">
      <c r="A184" s="7"/>
      <c r="B184" s="75"/>
      <c r="C184" s="63"/>
      <c r="D184" s="7"/>
      <c r="E184" s="8"/>
      <c r="F184" s="97"/>
      <c r="G184" s="86"/>
    </row>
    <row r="185" spans="1:7">
      <c r="A185" s="7"/>
      <c r="B185" s="75"/>
      <c r="C185" s="63" t="s">
        <v>334</v>
      </c>
      <c r="D185" s="7"/>
      <c r="E185" s="8"/>
      <c r="F185" s="97"/>
      <c r="G185" s="86"/>
    </row>
    <row r="186" spans="1:7">
      <c r="A186" s="7"/>
      <c r="B186" s="75"/>
      <c r="C186" s="63" t="s">
        <v>335</v>
      </c>
      <c r="D186" s="7"/>
      <c r="E186" s="8"/>
      <c r="F186" s="96"/>
      <c r="G186" s="86"/>
    </row>
    <row r="187" spans="1:7">
      <c r="A187" s="7"/>
      <c r="B187" s="13"/>
      <c r="C187" s="63" t="s">
        <v>336</v>
      </c>
      <c r="D187" s="7"/>
      <c r="E187" s="8"/>
      <c r="F187" s="96"/>
      <c r="G187" s="86"/>
    </row>
    <row r="188" spans="1:7">
      <c r="A188" s="7"/>
      <c r="B188" s="75"/>
      <c r="C188" s="63" t="s">
        <v>337</v>
      </c>
      <c r="D188" s="7"/>
      <c r="E188" s="8"/>
      <c r="F188" s="96"/>
      <c r="G188" s="86"/>
    </row>
    <row r="189" spans="1:7">
      <c r="A189" s="7"/>
      <c r="B189" s="75"/>
      <c r="C189" s="63" t="s">
        <v>338</v>
      </c>
      <c r="D189" s="7"/>
      <c r="E189" s="8"/>
      <c r="F189" s="96"/>
      <c r="G189" s="86"/>
    </row>
    <row r="190" spans="1:7">
      <c r="A190" s="7">
        <v>38</v>
      </c>
      <c r="B190" s="13"/>
      <c r="C190" s="63" t="s">
        <v>339</v>
      </c>
      <c r="D190" s="47" t="s">
        <v>136</v>
      </c>
      <c r="E190" s="8">
        <v>1</v>
      </c>
      <c r="F190" s="96">
        <v>1400</v>
      </c>
      <c r="G190" s="86">
        <f t="shared" si="2"/>
        <v>1400</v>
      </c>
    </row>
    <row r="191" spans="1:7">
      <c r="A191" s="7"/>
      <c r="B191" s="75"/>
      <c r="C191" s="63" t="s">
        <v>340</v>
      </c>
      <c r="D191" s="7"/>
      <c r="E191" s="8"/>
      <c r="F191" s="96"/>
      <c r="G191" s="86"/>
    </row>
    <row r="192" spans="1:7">
      <c r="A192" s="7"/>
      <c r="B192" s="13"/>
      <c r="C192" s="63" t="s">
        <v>341</v>
      </c>
      <c r="D192" s="7"/>
      <c r="E192" s="8"/>
      <c r="F192" s="97"/>
      <c r="G192" s="86"/>
    </row>
    <row r="193" spans="1:7">
      <c r="A193" s="7">
        <v>39</v>
      </c>
      <c r="B193" s="75"/>
      <c r="C193" s="63" t="s">
        <v>342</v>
      </c>
      <c r="D193" s="7" t="s">
        <v>136</v>
      </c>
      <c r="E193" s="8">
        <v>5</v>
      </c>
      <c r="F193" s="96">
        <v>1050</v>
      </c>
      <c r="G193" s="86">
        <f t="shared" si="2"/>
        <v>5250</v>
      </c>
    </row>
    <row r="194" spans="1:7">
      <c r="A194" s="4"/>
      <c r="B194" s="13"/>
      <c r="C194" s="63"/>
      <c r="D194" s="7"/>
      <c r="E194" s="8"/>
      <c r="F194" s="96"/>
      <c r="G194" s="86"/>
    </row>
    <row r="195" spans="1:7">
      <c r="A195" s="7"/>
      <c r="B195" s="75"/>
      <c r="C195" s="63" t="s">
        <v>344</v>
      </c>
      <c r="D195" s="7"/>
      <c r="E195" s="8"/>
      <c r="F195" s="96"/>
      <c r="G195" s="86"/>
    </row>
    <row r="196" spans="1:7">
      <c r="A196" s="7"/>
      <c r="B196" s="75"/>
      <c r="C196" s="63"/>
      <c r="D196" s="7"/>
      <c r="E196" s="8"/>
      <c r="F196" s="96"/>
      <c r="G196" s="86"/>
    </row>
    <row r="197" spans="1:7">
      <c r="A197" s="7"/>
      <c r="B197" s="75"/>
      <c r="C197" s="63" t="s">
        <v>343</v>
      </c>
      <c r="D197" s="7"/>
      <c r="E197" s="8"/>
      <c r="F197" s="96"/>
      <c r="G197" s="86"/>
    </row>
    <row r="198" spans="1:7">
      <c r="A198" s="7"/>
      <c r="B198" s="13"/>
      <c r="C198" s="63" t="s">
        <v>345</v>
      </c>
      <c r="D198" s="7"/>
      <c r="E198" s="8"/>
      <c r="F198" s="96"/>
      <c r="G198" s="86"/>
    </row>
    <row r="199" spans="1:7" ht="16.2">
      <c r="A199" s="7">
        <v>40</v>
      </c>
      <c r="B199" s="75"/>
      <c r="C199" s="63" t="s">
        <v>346</v>
      </c>
      <c r="D199" s="7" t="s">
        <v>118</v>
      </c>
      <c r="E199" s="8">
        <v>58.38</v>
      </c>
      <c r="F199" s="96">
        <v>68</v>
      </c>
      <c r="G199" s="86">
        <f t="shared" si="2"/>
        <v>3969.84</v>
      </c>
    </row>
    <row r="200" spans="1:7">
      <c r="A200" s="7"/>
      <c r="B200" s="75"/>
      <c r="C200" s="63" t="s">
        <v>347</v>
      </c>
      <c r="D200" s="7"/>
      <c r="E200" s="8"/>
      <c r="F200" s="96"/>
      <c r="G200" s="86"/>
    </row>
    <row r="201" spans="1:7">
      <c r="A201" s="7"/>
      <c r="B201" s="75"/>
      <c r="C201" s="63"/>
      <c r="D201" s="7"/>
      <c r="E201" s="8"/>
      <c r="F201" s="96"/>
      <c r="G201" s="86"/>
    </row>
    <row r="202" spans="1:7">
      <c r="A202" s="7"/>
      <c r="B202" s="75"/>
      <c r="C202" s="63" t="s">
        <v>326</v>
      </c>
      <c r="D202" s="7"/>
      <c r="E202" s="8"/>
      <c r="F202" s="96"/>
      <c r="G202" s="86"/>
    </row>
    <row r="203" spans="1:7">
      <c r="A203" s="7">
        <v>41</v>
      </c>
      <c r="B203" s="75"/>
      <c r="C203" s="63" t="s">
        <v>348</v>
      </c>
      <c r="D203" s="7"/>
      <c r="E203" s="8">
        <v>30.3</v>
      </c>
      <c r="F203" s="96">
        <v>48</v>
      </c>
      <c r="G203" s="86">
        <f t="shared" si="2"/>
        <v>1454.4</v>
      </c>
    </row>
    <row r="204" spans="1:7">
      <c r="A204" s="7"/>
      <c r="B204" s="75"/>
      <c r="C204" s="63"/>
      <c r="D204" s="7"/>
      <c r="E204" s="8"/>
      <c r="F204" s="96"/>
      <c r="G204" s="86"/>
    </row>
    <row r="205" spans="1:7">
      <c r="A205" s="7"/>
      <c r="B205" s="75"/>
      <c r="C205" s="63" t="s">
        <v>349</v>
      </c>
      <c r="D205" s="7"/>
      <c r="E205" s="8"/>
      <c r="F205" s="96"/>
      <c r="G205" s="86"/>
    </row>
    <row r="206" spans="1:7">
      <c r="A206" s="44">
        <v>42</v>
      </c>
      <c r="B206" s="13"/>
      <c r="C206" s="63" t="s">
        <v>350</v>
      </c>
      <c r="D206" s="7"/>
      <c r="E206" s="8">
        <v>65.8</v>
      </c>
      <c r="F206" s="97">
        <v>40</v>
      </c>
      <c r="G206" s="86">
        <f t="shared" si="2"/>
        <v>2632</v>
      </c>
    </row>
    <row r="207" spans="1:7">
      <c r="A207" s="8"/>
      <c r="B207" s="13"/>
      <c r="C207" s="63"/>
      <c r="D207" s="7"/>
      <c r="E207" s="8"/>
      <c r="F207" s="97"/>
      <c r="G207" s="86"/>
    </row>
    <row r="208" spans="1:7">
      <c r="A208" s="7"/>
      <c r="B208" s="75"/>
      <c r="C208" s="63" t="s">
        <v>351</v>
      </c>
      <c r="D208" s="7"/>
      <c r="E208" s="8"/>
      <c r="F208" s="97"/>
      <c r="G208" s="86"/>
    </row>
    <row r="209" spans="1:7">
      <c r="A209" s="7">
        <v>43</v>
      </c>
      <c r="B209" s="75"/>
      <c r="C209" s="63" t="s">
        <v>352</v>
      </c>
      <c r="D209" s="7"/>
      <c r="E209" s="8">
        <v>58.38</v>
      </c>
      <c r="F209" s="97">
        <v>198</v>
      </c>
      <c r="G209" s="86">
        <f t="shared" si="2"/>
        <v>11559.24</v>
      </c>
    </row>
    <row r="210" spans="1:7">
      <c r="A210" s="7"/>
      <c r="B210" s="75"/>
      <c r="C210" s="63" t="s">
        <v>353</v>
      </c>
      <c r="D210" s="7"/>
      <c r="E210" s="8"/>
      <c r="F210" s="97"/>
      <c r="G210" s="86"/>
    </row>
    <row r="211" spans="1:7">
      <c r="A211" s="7"/>
      <c r="B211" s="13"/>
      <c r="C211" s="63" t="s">
        <v>354</v>
      </c>
      <c r="D211" s="7"/>
      <c r="E211" s="8"/>
      <c r="F211" s="97"/>
      <c r="G211" s="86"/>
    </row>
    <row r="212" spans="1:7">
      <c r="A212" s="7"/>
      <c r="B212" s="75"/>
      <c r="C212" s="63" t="s">
        <v>355</v>
      </c>
      <c r="D212" s="7"/>
      <c r="E212" s="8"/>
      <c r="F212" s="97"/>
      <c r="G212" s="86"/>
    </row>
    <row r="213" spans="1:7">
      <c r="A213" s="7"/>
      <c r="B213" s="75"/>
      <c r="C213" s="63" t="s">
        <v>356</v>
      </c>
      <c r="D213" s="7"/>
      <c r="E213" s="8"/>
      <c r="F213" s="97"/>
      <c r="G213" s="86"/>
    </row>
    <row r="214" spans="1:7">
      <c r="A214" s="7"/>
      <c r="B214" s="75"/>
      <c r="C214" s="63"/>
      <c r="D214" s="7"/>
      <c r="E214" s="8"/>
      <c r="F214" s="97"/>
      <c r="G214" s="86"/>
    </row>
    <row r="215" spans="1:7">
      <c r="A215" s="7">
        <v>44</v>
      </c>
      <c r="B215" s="75"/>
      <c r="C215" s="63" t="s">
        <v>357</v>
      </c>
      <c r="D215" s="7"/>
      <c r="E215" s="8">
        <v>1</v>
      </c>
      <c r="F215" s="97">
        <v>1300</v>
      </c>
      <c r="G215" s="86">
        <f t="shared" si="2"/>
        <v>1300</v>
      </c>
    </row>
    <row r="216" spans="1:7">
      <c r="A216" s="7"/>
      <c r="B216" s="75"/>
      <c r="C216" s="63" t="s">
        <v>358</v>
      </c>
      <c r="D216" s="7"/>
      <c r="E216" s="8"/>
      <c r="F216" s="97"/>
      <c r="G216" s="86"/>
    </row>
    <row r="217" spans="1:7">
      <c r="A217" s="7"/>
      <c r="B217" s="75"/>
      <c r="C217" s="63" t="s">
        <v>359</v>
      </c>
      <c r="D217" s="7"/>
      <c r="E217" s="8"/>
      <c r="F217" s="97"/>
      <c r="G217" s="86"/>
    </row>
    <row r="218" spans="1:7">
      <c r="A218" s="7"/>
      <c r="B218" s="13"/>
      <c r="C218" s="63" t="s">
        <v>360</v>
      </c>
      <c r="D218" s="7"/>
      <c r="E218" s="8"/>
      <c r="F218" s="97"/>
      <c r="G218" s="86"/>
    </row>
    <row r="219" spans="1:7">
      <c r="A219" s="7"/>
      <c r="B219" s="13"/>
      <c r="C219" s="63"/>
      <c r="D219" s="7"/>
      <c r="E219" s="8"/>
      <c r="F219" s="97"/>
      <c r="G219" s="86"/>
    </row>
    <row r="220" spans="1:7">
      <c r="A220" s="7"/>
      <c r="B220" s="75"/>
      <c r="C220" s="63" t="s">
        <v>361</v>
      </c>
      <c r="D220" s="7"/>
      <c r="E220" s="8"/>
      <c r="F220" s="97"/>
      <c r="G220" s="86"/>
    </row>
    <row r="221" spans="1:7">
      <c r="A221" s="7"/>
      <c r="B221" s="75"/>
      <c r="C221" s="63"/>
      <c r="D221" s="7"/>
      <c r="E221" s="8"/>
      <c r="F221" s="97"/>
      <c r="G221" s="86"/>
    </row>
    <row r="222" spans="1:7">
      <c r="A222" s="7"/>
      <c r="B222" s="75"/>
      <c r="C222" s="63" t="s">
        <v>363</v>
      </c>
      <c r="D222" s="7"/>
      <c r="E222" s="8"/>
      <c r="F222" s="97"/>
      <c r="G222" s="86"/>
    </row>
    <row r="223" spans="1:7">
      <c r="A223" s="7"/>
      <c r="B223" s="75"/>
      <c r="C223" s="63"/>
      <c r="D223" s="7"/>
      <c r="E223" s="8"/>
      <c r="F223" s="97"/>
      <c r="G223" s="86"/>
    </row>
    <row r="224" spans="1:7">
      <c r="A224" s="7"/>
      <c r="B224" s="75"/>
      <c r="C224" s="63" t="s">
        <v>370</v>
      </c>
      <c r="D224" s="7"/>
      <c r="E224" s="8"/>
      <c r="F224" s="97"/>
      <c r="G224" s="86"/>
    </row>
    <row r="225" spans="1:12" ht="14.4" thickBot="1">
      <c r="A225" s="141"/>
      <c r="B225" s="146"/>
      <c r="C225" s="142"/>
      <c r="D225" s="141"/>
      <c r="E225" s="143"/>
      <c r="F225" s="143"/>
      <c r="G225" s="148"/>
    </row>
    <row r="226" spans="1:12" ht="14.4" thickBot="1">
      <c r="A226" s="2137" t="s">
        <v>48</v>
      </c>
      <c r="B226" s="2138"/>
      <c r="C226" s="2138"/>
      <c r="D226" s="2138"/>
      <c r="E226" s="2141"/>
      <c r="F226" s="50"/>
      <c r="G226" s="17">
        <f>SUM(G154:G220)</f>
        <v>211922.06</v>
      </c>
    </row>
    <row r="227" spans="1:12" ht="14.4" thickBot="1"/>
    <row r="228" spans="1:12">
      <c r="A228" s="127" t="s">
        <v>0</v>
      </c>
      <c r="B228" s="127" t="s">
        <v>1</v>
      </c>
      <c r="C228" s="2253" t="s">
        <v>2</v>
      </c>
      <c r="D228" s="2253" t="s">
        <v>3</v>
      </c>
      <c r="E228" s="2255" t="s">
        <v>4</v>
      </c>
      <c r="F228" s="2257" t="s">
        <v>5</v>
      </c>
      <c r="G228" s="2251" t="s">
        <v>6</v>
      </c>
    </row>
    <row r="229" spans="1:12" ht="14.4" thickBot="1">
      <c r="A229" s="128" t="s">
        <v>7</v>
      </c>
      <c r="B229" s="128" t="s">
        <v>8</v>
      </c>
      <c r="C229" s="2254"/>
      <c r="D229" s="2254"/>
      <c r="E229" s="2256"/>
      <c r="F229" s="2258"/>
      <c r="G229" s="2252"/>
    </row>
    <row r="230" spans="1:12" ht="14.4" thickBot="1">
      <c r="A230" s="2145" t="s">
        <v>49</v>
      </c>
      <c r="B230" s="2145"/>
      <c r="C230" s="2145"/>
      <c r="D230" s="2145"/>
      <c r="E230" s="2145"/>
      <c r="F230" s="2145"/>
      <c r="G230" s="126">
        <f>G226</f>
        <v>211922.06</v>
      </c>
    </row>
    <row r="231" spans="1:12">
      <c r="A231" s="57"/>
      <c r="B231" s="74"/>
      <c r="C231" s="58"/>
      <c r="D231" s="57"/>
      <c r="E231" s="90"/>
      <c r="F231" s="90"/>
      <c r="G231" s="83"/>
    </row>
    <row r="232" spans="1:12" ht="15">
      <c r="A232" s="7">
        <v>45</v>
      </c>
      <c r="B232" s="75"/>
      <c r="C232" s="63" t="s">
        <v>365</v>
      </c>
      <c r="D232" s="7" t="s">
        <v>148</v>
      </c>
      <c r="E232" s="8">
        <v>6</v>
      </c>
      <c r="F232" s="97">
        <v>670</v>
      </c>
      <c r="G232" s="86">
        <f>E232*F232</f>
        <v>4020</v>
      </c>
      <c r="H232" s="173"/>
      <c r="I232" s="173"/>
      <c r="J232" s="173"/>
      <c r="K232" s="173"/>
      <c r="L232" s="173"/>
    </row>
    <row r="233" spans="1:12" ht="15">
      <c r="A233" s="7"/>
      <c r="B233" s="75"/>
      <c r="C233" s="63"/>
      <c r="D233" s="7"/>
      <c r="E233" s="8"/>
      <c r="F233" s="97"/>
      <c r="G233" s="86"/>
      <c r="H233" s="173"/>
      <c r="I233" s="173"/>
      <c r="J233" s="173"/>
      <c r="K233" s="173"/>
      <c r="L233" s="173"/>
    </row>
    <row r="234" spans="1:12" ht="15">
      <c r="A234" s="7"/>
      <c r="B234" s="75"/>
      <c r="C234" s="63" t="s">
        <v>366</v>
      </c>
      <c r="D234" s="7"/>
      <c r="E234" s="8"/>
      <c r="F234" s="97"/>
      <c r="G234" s="86"/>
      <c r="H234" s="173"/>
      <c r="I234" s="174"/>
      <c r="J234" s="173"/>
      <c r="K234" s="173"/>
      <c r="L234" s="173"/>
    </row>
    <row r="235" spans="1:12" ht="15">
      <c r="A235" s="7"/>
      <c r="B235" s="75"/>
      <c r="C235" s="63" t="s">
        <v>367</v>
      </c>
      <c r="D235" s="7"/>
      <c r="E235" s="8"/>
      <c r="F235" s="97"/>
      <c r="G235" s="86"/>
      <c r="H235" s="173"/>
      <c r="I235" s="174"/>
      <c r="J235" s="173"/>
      <c r="K235" s="173"/>
      <c r="L235" s="173"/>
    </row>
    <row r="236" spans="1:12">
      <c r="A236" s="7">
        <v>46</v>
      </c>
      <c r="B236" s="75"/>
      <c r="C236" s="63" t="s">
        <v>368</v>
      </c>
      <c r="D236" s="7" t="s">
        <v>148</v>
      </c>
      <c r="E236" s="8">
        <v>4</v>
      </c>
      <c r="F236" s="97">
        <v>2900</v>
      </c>
      <c r="G236" s="86">
        <f t="shared" ref="G236:G248" si="3">E236*F236</f>
        <v>11600</v>
      </c>
    </row>
    <row r="237" spans="1:12">
      <c r="A237" s="7">
        <v>47</v>
      </c>
      <c r="B237" s="75"/>
      <c r="C237" s="63" t="s">
        <v>369</v>
      </c>
      <c r="D237" s="7" t="s">
        <v>148</v>
      </c>
      <c r="E237" s="8">
        <v>2</v>
      </c>
      <c r="F237" s="97">
        <v>1200</v>
      </c>
      <c r="G237" s="86">
        <f t="shared" si="3"/>
        <v>2400</v>
      </c>
    </row>
    <row r="238" spans="1:12">
      <c r="A238" s="7"/>
      <c r="B238" s="75"/>
      <c r="C238" s="63"/>
      <c r="D238" s="7"/>
      <c r="E238" s="8"/>
      <c r="F238" s="97"/>
      <c r="G238" s="86"/>
    </row>
    <row r="239" spans="1:12">
      <c r="A239" s="7"/>
      <c r="B239" s="75"/>
      <c r="C239" s="63" t="s">
        <v>371</v>
      </c>
      <c r="D239" s="7"/>
      <c r="E239" s="8"/>
      <c r="F239" s="97"/>
      <c r="G239" s="86"/>
    </row>
    <row r="240" spans="1:12">
      <c r="A240" s="7"/>
      <c r="B240" s="75"/>
      <c r="C240" s="63"/>
      <c r="D240" s="7"/>
      <c r="E240" s="8"/>
      <c r="F240" s="97"/>
      <c r="G240" s="86"/>
    </row>
    <row r="241" spans="1:12">
      <c r="A241" s="7"/>
      <c r="B241" s="75"/>
      <c r="C241" s="63" t="s">
        <v>372</v>
      </c>
      <c r="D241" s="7"/>
      <c r="E241" s="8"/>
      <c r="F241" s="97"/>
      <c r="G241" s="86"/>
    </row>
    <row r="242" spans="1:12">
      <c r="A242" s="7"/>
      <c r="B242" s="75"/>
      <c r="C242" s="63" t="s">
        <v>373</v>
      </c>
      <c r="D242" s="7"/>
      <c r="E242" s="8"/>
      <c r="F242" s="97"/>
      <c r="G242" s="86"/>
    </row>
    <row r="243" spans="1:12" ht="16.2">
      <c r="A243" s="7">
        <v>48</v>
      </c>
      <c r="B243" s="75"/>
      <c r="C243" s="63" t="s">
        <v>374</v>
      </c>
      <c r="D243" s="7" t="s">
        <v>118</v>
      </c>
      <c r="E243" s="8">
        <v>53</v>
      </c>
      <c r="F243" s="97">
        <v>65</v>
      </c>
      <c r="G243" s="86">
        <f t="shared" si="3"/>
        <v>3445</v>
      </c>
      <c r="H243" s="173"/>
      <c r="I243" s="174"/>
      <c r="J243" s="173"/>
      <c r="K243" s="173"/>
      <c r="L243" s="173"/>
    </row>
    <row r="244" spans="1:12" ht="15">
      <c r="A244" s="7"/>
      <c r="B244" s="75"/>
      <c r="C244" s="63"/>
      <c r="D244" s="7"/>
      <c r="E244" s="8"/>
      <c r="F244" s="97"/>
      <c r="G244" s="86"/>
      <c r="H244" s="173"/>
      <c r="I244" s="173"/>
      <c r="J244" s="173"/>
      <c r="K244" s="173"/>
      <c r="L244" s="173"/>
    </row>
    <row r="245" spans="1:12" ht="15">
      <c r="A245" s="7"/>
      <c r="B245" s="75"/>
      <c r="C245" s="63" t="s">
        <v>375</v>
      </c>
      <c r="D245" s="7"/>
      <c r="E245" s="8"/>
      <c r="F245" s="97"/>
      <c r="G245" s="86"/>
      <c r="H245" s="173"/>
      <c r="I245" s="173"/>
      <c r="J245" s="173"/>
      <c r="K245" s="173"/>
      <c r="L245" s="173"/>
    </row>
    <row r="246" spans="1:12" ht="15">
      <c r="A246" s="7"/>
      <c r="B246" s="75"/>
      <c r="C246" s="63" t="s">
        <v>376</v>
      </c>
      <c r="D246" s="7"/>
      <c r="E246" s="8"/>
      <c r="F246" s="97"/>
      <c r="G246" s="86"/>
      <c r="H246" s="173"/>
      <c r="I246" s="174"/>
      <c r="J246" s="173"/>
      <c r="K246" s="173"/>
      <c r="L246" s="173"/>
    </row>
    <row r="247" spans="1:12" ht="16.2">
      <c r="A247" s="7">
        <v>50</v>
      </c>
      <c r="B247" s="75"/>
      <c r="C247" s="63" t="s">
        <v>377</v>
      </c>
      <c r="D247" s="7" t="s">
        <v>118</v>
      </c>
      <c r="E247" s="8">
        <v>181.09</v>
      </c>
      <c r="F247" s="97">
        <v>60</v>
      </c>
      <c r="G247" s="86">
        <f t="shared" si="3"/>
        <v>10865.4</v>
      </c>
      <c r="H247" s="173"/>
      <c r="I247" s="174"/>
      <c r="J247" s="173"/>
      <c r="K247" s="173"/>
      <c r="L247" s="173"/>
    </row>
    <row r="248" spans="1:12" ht="16.2">
      <c r="A248" s="7">
        <v>51</v>
      </c>
      <c r="B248" s="75"/>
      <c r="C248" s="63" t="s">
        <v>378</v>
      </c>
      <c r="D248" s="7" t="s">
        <v>118</v>
      </c>
      <c r="E248" s="8">
        <v>5</v>
      </c>
      <c r="F248" s="97">
        <v>65</v>
      </c>
      <c r="G248" s="86">
        <f t="shared" si="3"/>
        <v>325</v>
      </c>
    </row>
    <row r="249" spans="1:12">
      <c r="A249" s="7"/>
      <c r="B249" s="75"/>
      <c r="C249" s="63"/>
      <c r="D249" s="7"/>
      <c r="E249" s="8"/>
      <c r="F249" s="97"/>
      <c r="G249" s="86"/>
    </row>
    <row r="250" spans="1:12">
      <c r="A250" s="7"/>
      <c r="B250" s="7"/>
      <c r="C250" s="34" t="s">
        <v>379</v>
      </c>
      <c r="D250" s="7"/>
      <c r="E250" s="91"/>
      <c r="F250" s="95"/>
      <c r="G250" s="86"/>
    </row>
    <row r="251" spans="1:12">
      <c r="A251" s="7"/>
      <c r="B251" s="71"/>
      <c r="C251" s="34"/>
      <c r="D251" s="76"/>
      <c r="E251" s="91"/>
      <c r="F251" s="91"/>
      <c r="G251" s="84"/>
    </row>
    <row r="252" spans="1:12">
      <c r="A252" s="7"/>
      <c r="B252" s="71"/>
      <c r="C252" s="34" t="s">
        <v>380</v>
      </c>
      <c r="D252" s="76"/>
      <c r="E252" s="92"/>
      <c r="F252" s="94"/>
      <c r="G252" s="86"/>
    </row>
    <row r="253" spans="1:12">
      <c r="A253" s="7"/>
      <c r="B253" s="71"/>
      <c r="C253" s="34"/>
      <c r="D253" s="76"/>
      <c r="E253" s="92"/>
      <c r="F253" s="94"/>
      <c r="G253" s="86"/>
    </row>
    <row r="254" spans="1:12">
      <c r="A254" s="7"/>
      <c r="B254" s="71"/>
      <c r="C254" s="34" t="s">
        <v>381</v>
      </c>
      <c r="D254" s="76"/>
      <c r="E254" s="92"/>
      <c r="F254" s="94"/>
      <c r="G254" s="86"/>
    </row>
    <row r="255" spans="1:12">
      <c r="A255" s="7"/>
      <c r="B255" s="71"/>
      <c r="C255" s="34" t="s">
        <v>382</v>
      </c>
      <c r="D255" s="25"/>
      <c r="E255" s="92"/>
      <c r="F255" s="91"/>
      <c r="G255" s="86"/>
    </row>
    <row r="256" spans="1:12">
      <c r="A256" s="7"/>
      <c r="B256" s="71"/>
      <c r="C256" s="34" t="s">
        <v>383</v>
      </c>
      <c r="D256" s="7"/>
      <c r="E256" s="138"/>
      <c r="F256" s="94"/>
      <c r="G256" s="86"/>
    </row>
    <row r="257" spans="1:13">
      <c r="A257" s="7"/>
      <c r="B257" s="71"/>
      <c r="C257" s="34" t="s">
        <v>384</v>
      </c>
      <c r="D257" s="76"/>
      <c r="E257" s="92"/>
      <c r="F257" s="94"/>
      <c r="G257" s="86"/>
    </row>
    <row r="258" spans="1:13">
      <c r="A258" s="7"/>
      <c r="B258" s="71"/>
      <c r="C258" s="34" t="s">
        <v>385</v>
      </c>
      <c r="D258" s="80"/>
      <c r="E258" s="93"/>
      <c r="F258" s="93"/>
      <c r="G258" s="86"/>
    </row>
    <row r="259" spans="1:13" ht="16.2">
      <c r="A259" s="7">
        <v>52</v>
      </c>
      <c r="B259" s="71"/>
      <c r="C259" s="34" t="s">
        <v>386</v>
      </c>
      <c r="D259" s="7" t="s">
        <v>118</v>
      </c>
      <c r="E259" s="138">
        <v>53.38</v>
      </c>
      <c r="F259" s="95">
        <v>280</v>
      </c>
      <c r="G259" s="86">
        <f>E259*F259</f>
        <v>14946.400000000001</v>
      </c>
    </row>
    <row r="260" spans="1:13">
      <c r="A260" s="7">
        <v>53</v>
      </c>
      <c r="B260" s="71"/>
      <c r="C260" s="34" t="s">
        <v>387</v>
      </c>
      <c r="D260" s="7" t="s">
        <v>136</v>
      </c>
      <c r="E260" s="92">
        <v>65.8</v>
      </c>
      <c r="F260" s="95">
        <v>55</v>
      </c>
      <c r="G260" s="86">
        <f>E260*F260</f>
        <v>3619</v>
      </c>
    </row>
    <row r="261" spans="1:13">
      <c r="A261" s="7"/>
      <c r="B261" s="71"/>
      <c r="C261" s="34"/>
      <c r="D261" s="7"/>
      <c r="E261" s="92"/>
      <c r="F261" s="95"/>
      <c r="G261" s="86"/>
    </row>
    <row r="262" spans="1:13">
      <c r="A262" s="7"/>
      <c r="B262" s="71"/>
      <c r="C262" s="34" t="s">
        <v>388</v>
      </c>
      <c r="D262" s="7"/>
      <c r="E262" s="138"/>
      <c r="F262" s="94"/>
      <c r="G262" s="86"/>
    </row>
    <row r="263" spans="1:13">
      <c r="A263" s="7"/>
      <c r="B263" s="71"/>
      <c r="C263" s="63"/>
      <c r="D263" s="7"/>
      <c r="E263" s="138"/>
      <c r="F263" s="94"/>
      <c r="G263" s="86"/>
    </row>
    <row r="264" spans="1:13">
      <c r="A264" s="7"/>
      <c r="B264" s="71"/>
      <c r="C264" s="63" t="s">
        <v>389</v>
      </c>
      <c r="D264" s="7"/>
      <c r="E264" s="92"/>
      <c r="F264" s="94"/>
      <c r="G264" s="86"/>
    </row>
    <row r="265" spans="1:13">
      <c r="A265" s="4"/>
      <c r="B265" s="13"/>
      <c r="C265" s="63" t="s">
        <v>382</v>
      </c>
      <c r="D265" s="7"/>
      <c r="E265" s="8"/>
      <c r="F265" s="87"/>
      <c r="G265" s="86"/>
    </row>
    <row r="266" spans="1:13" ht="15">
      <c r="A266" s="7"/>
      <c r="B266" s="75"/>
      <c r="C266" s="63" t="s">
        <v>390</v>
      </c>
      <c r="D266" s="14"/>
      <c r="E266" s="8"/>
      <c r="F266" s="87"/>
      <c r="G266" s="86"/>
      <c r="H266" s="173"/>
      <c r="I266" s="173"/>
      <c r="J266" s="174"/>
      <c r="K266" s="173"/>
      <c r="L266" s="173"/>
      <c r="M266" s="173"/>
    </row>
    <row r="267" spans="1:13" ht="15">
      <c r="A267" s="7"/>
      <c r="B267" s="13"/>
      <c r="C267" s="63" t="s">
        <v>384</v>
      </c>
      <c r="D267" s="7"/>
      <c r="E267" s="8"/>
      <c r="F267" s="87"/>
      <c r="G267" s="86"/>
      <c r="H267" s="173"/>
      <c r="I267" s="173"/>
      <c r="J267" s="174"/>
      <c r="K267" s="173"/>
      <c r="L267" s="173"/>
      <c r="M267" s="173"/>
    </row>
    <row r="268" spans="1:13" ht="15">
      <c r="A268" s="7"/>
      <c r="B268" s="75"/>
      <c r="C268" s="63" t="s">
        <v>385</v>
      </c>
      <c r="D268" s="7"/>
      <c r="E268" s="8"/>
      <c r="F268" s="87"/>
      <c r="G268" s="86"/>
      <c r="H268" s="173"/>
      <c r="I268" s="173"/>
      <c r="J268" s="173"/>
      <c r="K268" s="173"/>
      <c r="L268" s="173"/>
      <c r="M268" s="173"/>
    </row>
    <row r="269" spans="1:13" ht="16.2">
      <c r="A269" s="7">
        <v>54</v>
      </c>
      <c r="B269" s="13"/>
      <c r="C269" s="63" t="s">
        <v>391</v>
      </c>
      <c r="D269" s="7" t="s">
        <v>118</v>
      </c>
      <c r="E269" s="8">
        <v>36.36</v>
      </c>
      <c r="F269" s="87">
        <v>256</v>
      </c>
      <c r="G269" s="86">
        <f>E269*F269</f>
        <v>9308.16</v>
      </c>
      <c r="H269" s="173"/>
      <c r="I269" s="173"/>
      <c r="J269" s="173"/>
      <c r="K269" s="173"/>
      <c r="L269" s="173"/>
      <c r="M269" s="173"/>
    </row>
    <row r="270" spans="1:13" ht="16.2">
      <c r="A270" s="7">
        <v>55</v>
      </c>
      <c r="B270" s="75"/>
      <c r="C270" s="63" t="s">
        <v>392</v>
      </c>
      <c r="D270" s="7" t="s">
        <v>118</v>
      </c>
      <c r="E270" s="8">
        <v>4.9000000000000004</v>
      </c>
      <c r="F270" s="87">
        <v>320</v>
      </c>
      <c r="G270" s="86">
        <f>E270*F270</f>
        <v>1568</v>
      </c>
      <c r="H270" s="173"/>
      <c r="I270" s="173"/>
      <c r="J270" s="173"/>
      <c r="K270" s="173"/>
      <c r="L270" s="173"/>
      <c r="M270" s="173"/>
    </row>
    <row r="271" spans="1:13" ht="15">
      <c r="A271" s="7"/>
      <c r="B271" s="75"/>
      <c r="C271" s="63"/>
      <c r="D271" s="7"/>
      <c r="E271" s="8"/>
      <c r="F271" s="87"/>
      <c r="G271" s="86"/>
      <c r="H271" s="173"/>
      <c r="I271" s="173"/>
      <c r="J271" s="173"/>
      <c r="K271" s="173"/>
      <c r="L271" s="173"/>
      <c r="M271" s="173"/>
    </row>
    <row r="272" spans="1:13" ht="15">
      <c r="A272" s="7"/>
      <c r="B272" s="13"/>
      <c r="C272" s="63" t="s">
        <v>393</v>
      </c>
      <c r="D272" s="14"/>
      <c r="E272" s="8"/>
      <c r="F272" s="87"/>
      <c r="G272" s="86"/>
      <c r="H272" s="173"/>
      <c r="I272" s="173"/>
      <c r="J272" s="173"/>
      <c r="K272" s="173"/>
      <c r="L272" s="173"/>
      <c r="M272" s="173"/>
    </row>
    <row r="273" spans="1:13" ht="15">
      <c r="A273" s="7"/>
      <c r="B273" s="75"/>
      <c r="C273" s="63"/>
      <c r="D273" s="7"/>
      <c r="E273" s="8"/>
      <c r="F273" s="87"/>
      <c r="G273" s="86"/>
      <c r="H273" s="173"/>
      <c r="I273" s="173"/>
      <c r="J273" s="173"/>
      <c r="K273" s="173"/>
      <c r="L273" s="173"/>
      <c r="M273" s="173"/>
    </row>
    <row r="274" spans="1:13" ht="15">
      <c r="A274" s="7"/>
      <c r="B274" s="13"/>
      <c r="C274" s="63" t="s">
        <v>394</v>
      </c>
      <c r="D274" s="7"/>
      <c r="E274" s="8"/>
      <c r="F274" s="87"/>
      <c r="G274" s="86"/>
      <c r="H274" s="173"/>
      <c r="I274" s="173"/>
      <c r="J274" s="174"/>
      <c r="K274" s="173"/>
      <c r="L274" s="173"/>
      <c r="M274" s="173"/>
    </row>
    <row r="275" spans="1:13" ht="15">
      <c r="A275" s="7"/>
      <c r="B275" s="75"/>
      <c r="C275" s="63" t="s">
        <v>395</v>
      </c>
      <c r="D275" s="7"/>
      <c r="E275" s="8"/>
      <c r="F275" s="87"/>
      <c r="G275" s="86"/>
      <c r="H275" s="173"/>
      <c r="I275" s="173"/>
      <c r="J275" s="174"/>
      <c r="K275" s="173"/>
      <c r="L275" s="173"/>
      <c r="M275" s="173"/>
    </row>
    <row r="276" spans="1:13" ht="15">
      <c r="A276" s="7"/>
      <c r="B276" s="75"/>
      <c r="C276" s="63"/>
      <c r="D276" s="7"/>
      <c r="E276" s="8"/>
      <c r="F276" s="87"/>
      <c r="G276" s="86"/>
      <c r="H276" s="173"/>
      <c r="I276" s="173"/>
      <c r="J276" s="174"/>
      <c r="K276" s="173"/>
      <c r="L276" s="173"/>
      <c r="M276" s="173"/>
    </row>
    <row r="277" spans="1:13">
      <c r="A277" s="7"/>
      <c r="B277" s="75"/>
      <c r="C277" s="63" t="s">
        <v>396</v>
      </c>
      <c r="D277" s="7"/>
      <c r="E277" s="8"/>
      <c r="F277" s="87"/>
      <c r="G277" s="86"/>
    </row>
    <row r="278" spans="1:13">
      <c r="A278" s="7"/>
      <c r="B278" s="13"/>
      <c r="C278" s="63" t="s">
        <v>397</v>
      </c>
      <c r="D278" s="7"/>
      <c r="E278" s="8"/>
      <c r="F278" s="87"/>
      <c r="G278" s="86"/>
    </row>
    <row r="279" spans="1:13">
      <c r="A279" s="7"/>
      <c r="B279" s="75"/>
      <c r="C279" s="63" t="s">
        <v>398</v>
      </c>
      <c r="D279" s="7"/>
      <c r="E279" s="8"/>
      <c r="F279" s="96"/>
      <c r="G279" s="86"/>
    </row>
    <row r="280" spans="1:13">
      <c r="A280" s="7"/>
      <c r="B280" s="75"/>
      <c r="C280" s="63" t="s">
        <v>399</v>
      </c>
      <c r="D280" s="7"/>
      <c r="E280" s="8"/>
      <c r="F280" s="97"/>
      <c r="G280" s="86"/>
    </row>
    <row r="281" spans="1:13">
      <c r="A281" s="7"/>
      <c r="B281" s="75"/>
      <c r="C281" s="63" t="s">
        <v>400</v>
      </c>
      <c r="D281" s="7"/>
      <c r="E281" s="8"/>
      <c r="F281" s="97"/>
      <c r="G281" s="86"/>
    </row>
    <row r="282" spans="1:13">
      <c r="A282" s="7"/>
      <c r="B282" s="75"/>
      <c r="C282" s="63" t="s">
        <v>401</v>
      </c>
      <c r="D282" s="7"/>
      <c r="E282" s="8"/>
      <c r="F282" s="97"/>
      <c r="G282" s="86"/>
    </row>
    <row r="283" spans="1:13">
      <c r="A283" s="7"/>
      <c r="B283" s="75"/>
      <c r="C283" s="63" t="s">
        <v>402</v>
      </c>
      <c r="D283" s="7"/>
      <c r="E283" s="8"/>
      <c r="F283" s="96"/>
      <c r="G283" s="86"/>
    </row>
    <row r="284" spans="1:13">
      <c r="A284" s="7"/>
      <c r="B284" s="13"/>
      <c r="C284" s="63" t="s">
        <v>403</v>
      </c>
      <c r="D284" s="7"/>
      <c r="E284" s="8"/>
      <c r="F284" s="96"/>
      <c r="G284" s="86"/>
    </row>
    <row r="285" spans="1:13">
      <c r="A285" s="7"/>
      <c r="B285" s="75"/>
      <c r="C285" s="63" t="s">
        <v>404</v>
      </c>
      <c r="D285" s="7"/>
      <c r="E285" s="8"/>
      <c r="F285" s="96"/>
      <c r="G285" s="86"/>
    </row>
    <row r="286" spans="1:13">
      <c r="A286" s="7"/>
      <c r="B286" s="75"/>
      <c r="C286" s="63" t="s">
        <v>405</v>
      </c>
      <c r="D286" s="7"/>
      <c r="E286" s="8"/>
      <c r="F286" s="96"/>
      <c r="G286" s="86"/>
    </row>
    <row r="287" spans="1:13" ht="16.2">
      <c r="A287" s="7">
        <v>56</v>
      </c>
      <c r="B287" s="13"/>
      <c r="C287" s="63" t="s">
        <v>406</v>
      </c>
      <c r="D287" s="7" t="s">
        <v>118</v>
      </c>
      <c r="E287" s="8">
        <v>181.08</v>
      </c>
      <c r="F287" s="96">
        <v>55</v>
      </c>
      <c r="G287" s="86">
        <f>E287*F287</f>
        <v>9959.4000000000015</v>
      </c>
    </row>
    <row r="288" spans="1:13">
      <c r="A288" s="7"/>
      <c r="B288" s="13"/>
      <c r="C288" s="63"/>
      <c r="D288" s="7"/>
      <c r="E288" s="8"/>
      <c r="F288" s="96"/>
      <c r="G288" s="86"/>
    </row>
    <row r="289" spans="1:7">
      <c r="A289" s="7"/>
      <c r="B289" s="75"/>
      <c r="C289" s="63" t="s">
        <v>407</v>
      </c>
      <c r="D289" s="7"/>
      <c r="E289" s="8"/>
      <c r="F289" s="96"/>
      <c r="G289" s="86"/>
    </row>
    <row r="290" spans="1:7">
      <c r="A290" s="7"/>
      <c r="B290" s="75"/>
      <c r="C290" s="63"/>
      <c r="D290" s="7"/>
      <c r="E290" s="8"/>
      <c r="F290" s="96"/>
      <c r="G290" s="86"/>
    </row>
    <row r="291" spans="1:7">
      <c r="A291" s="7"/>
      <c r="B291" s="13"/>
      <c r="C291" s="63" t="s">
        <v>408</v>
      </c>
      <c r="D291" s="7"/>
      <c r="E291" s="8"/>
      <c r="F291" s="97"/>
      <c r="G291" s="86"/>
    </row>
    <row r="292" spans="1:7">
      <c r="A292" s="7"/>
      <c r="B292" s="75"/>
      <c r="C292" s="63" t="s">
        <v>409</v>
      </c>
      <c r="D292" s="7"/>
      <c r="E292" s="8"/>
      <c r="F292" s="96"/>
      <c r="G292" s="86"/>
    </row>
    <row r="293" spans="1:7">
      <c r="A293" s="4"/>
      <c r="B293" s="13"/>
      <c r="C293" s="63" t="s">
        <v>410</v>
      </c>
      <c r="D293" s="7"/>
      <c r="E293" s="8"/>
      <c r="F293" s="96"/>
      <c r="G293" s="86"/>
    </row>
    <row r="294" spans="1:7">
      <c r="A294" s="7"/>
      <c r="B294" s="75"/>
      <c r="C294" s="63" t="s">
        <v>411</v>
      </c>
      <c r="D294" s="7"/>
      <c r="E294" s="8"/>
      <c r="F294" s="96"/>
      <c r="G294" s="86"/>
    </row>
    <row r="295" spans="1:7">
      <c r="A295" s="7"/>
      <c r="B295" s="75"/>
      <c r="C295" s="63" t="s">
        <v>412</v>
      </c>
      <c r="D295" s="7"/>
      <c r="E295" s="8"/>
      <c r="F295" s="96"/>
      <c r="G295" s="86"/>
    </row>
    <row r="296" spans="1:7">
      <c r="A296" s="7"/>
      <c r="B296" s="75"/>
      <c r="C296" s="63" t="s">
        <v>413</v>
      </c>
      <c r="D296" s="7"/>
      <c r="E296" s="8"/>
      <c r="F296" s="96"/>
      <c r="G296" s="86"/>
    </row>
    <row r="297" spans="1:7">
      <c r="A297" s="7"/>
      <c r="B297" s="13"/>
      <c r="C297" s="63" t="s">
        <v>414</v>
      </c>
      <c r="D297" s="7"/>
      <c r="E297" s="8"/>
      <c r="F297" s="96"/>
      <c r="G297" s="86"/>
    </row>
    <row r="298" spans="1:7">
      <c r="A298" s="7"/>
      <c r="B298" s="75"/>
      <c r="C298" s="63" t="s">
        <v>415</v>
      </c>
      <c r="D298" s="7"/>
      <c r="E298" s="8"/>
      <c r="F298" s="96"/>
      <c r="G298" s="86"/>
    </row>
    <row r="299" spans="1:7" ht="14.4" thickBot="1">
      <c r="A299" s="7"/>
      <c r="B299" s="75"/>
      <c r="C299" s="63" t="s">
        <v>416</v>
      </c>
      <c r="D299" s="7"/>
      <c r="E299" s="8"/>
      <c r="F299" s="96"/>
      <c r="G299" s="86"/>
    </row>
    <row r="300" spans="1:7" ht="14.4" thickBot="1">
      <c r="A300" s="2137" t="s">
        <v>48</v>
      </c>
      <c r="B300" s="2138"/>
      <c r="C300" s="2138"/>
      <c r="D300" s="2138"/>
      <c r="E300" s="2141"/>
      <c r="F300" s="50"/>
      <c r="G300" s="17">
        <f>SUM(G230:G293)</f>
        <v>283978.42</v>
      </c>
    </row>
    <row r="301" spans="1:7" ht="14.4" thickBot="1"/>
    <row r="302" spans="1:7">
      <c r="A302" s="127" t="s">
        <v>0</v>
      </c>
      <c r="B302" s="127" t="s">
        <v>1</v>
      </c>
      <c r="C302" s="2253" t="s">
        <v>2</v>
      </c>
      <c r="D302" s="2253" t="s">
        <v>3</v>
      </c>
      <c r="E302" s="2255" t="s">
        <v>4</v>
      </c>
      <c r="F302" s="2257" t="s">
        <v>5</v>
      </c>
      <c r="G302" s="2251" t="s">
        <v>6</v>
      </c>
    </row>
    <row r="303" spans="1:7" ht="14.4" thickBot="1">
      <c r="A303" s="128" t="s">
        <v>7</v>
      </c>
      <c r="B303" s="128" t="s">
        <v>8</v>
      </c>
      <c r="C303" s="2254"/>
      <c r="D303" s="2254"/>
      <c r="E303" s="2256"/>
      <c r="F303" s="2258"/>
      <c r="G303" s="2252"/>
    </row>
    <row r="304" spans="1:7" ht="14.4" thickBot="1">
      <c r="A304" s="2145" t="s">
        <v>49</v>
      </c>
      <c r="B304" s="2145"/>
      <c r="C304" s="2145"/>
      <c r="D304" s="2145"/>
      <c r="E304" s="2145"/>
      <c r="F304" s="2145"/>
      <c r="G304" s="126">
        <f>G300</f>
        <v>283978.42</v>
      </c>
    </row>
    <row r="305" spans="1:7">
      <c r="A305" s="177"/>
      <c r="B305" s="177"/>
      <c r="C305" s="177"/>
      <c r="D305" s="177"/>
      <c r="E305" s="177"/>
      <c r="F305" s="177"/>
      <c r="G305" s="18"/>
    </row>
    <row r="306" spans="1:7" ht="16.2">
      <c r="A306" s="7">
        <v>57</v>
      </c>
      <c r="B306" s="75"/>
      <c r="C306" s="63" t="s">
        <v>417</v>
      </c>
      <c r="D306" s="7" t="s">
        <v>118</v>
      </c>
      <c r="E306" s="8">
        <v>53.38</v>
      </c>
      <c r="F306" s="96">
        <v>55</v>
      </c>
      <c r="G306" s="86">
        <f>E306*F306</f>
        <v>2935.9</v>
      </c>
    </row>
    <row r="307" spans="1:7">
      <c r="A307" s="7"/>
      <c r="B307" s="75"/>
      <c r="C307" s="63" t="s">
        <v>418</v>
      </c>
      <c r="D307" s="7"/>
      <c r="E307" s="8"/>
      <c r="F307" s="96"/>
      <c r="G307" s="86"/>
    </row>
    <row r="308" spans="1:7">
      <c r="A308" s="7"/>
      <c r="B308" s="75"/>
      <c r="C308" s="63" t="s">
        <v>419</v>
      </c>
      <c r="D308" s="7"/>
      <c r="E308" s="8"/>
      <c r="F308" s="96"/>
      <c r="G308" s="86"/>
    </row>
    <row r="309" spans="1:7" ht="16.2">
      <c r="A309" s="7">
        <v>58</v>
      </c>
      <c r="B309" s="75"/>
      <c r="C309" s="63" t="s">
        <v>420</v>
      </c>
      <c r="D309" s="7" t="s">
        <v>118</v>
      </c>
      <c r="E309" s="8">
        <v>3.89</v>
      </c>
      <c r="F309" s="96">
        <v>55</v>
      </c>
      <c r="G309" s="86">
        <f>E309*F309</f>
        <v>213.95000000000002</v>
      </c>
    </row>
    <row r="310" spans="1:7">
      <c r="A310" s="7"/>
      <c r="B310" s="75"/>
      <c r="C310" s="63" t="s">
        <v>421</v>
      </c>
      <c r="D310" s="7"/>
      <c r="E310" s="8"/>
      <c r="F310" s="96"/>
      <c r="G310" s="86"/>
    </row>
    <row r="311" spans="1:7">
      <c r="A311" s="44"/>
      <c r="B311" s="13"/>
      <c r="C311" s="63" t="s">
        <v>422</v>
      </c>
      <c r="D311" s="7"/>
      <c r="E311" s="8"/>
      <c r="F311" s="97"/>
      <c r="G311" s="86"/>
    </row>
    <row r="312" spans="1:7">
      <c r="A312" s="8"/>
      <c r="B312" s="13"/>
      <c r="C312" s="63" t="s">
        <v>410</v>
      </c>
      <c r="D312" s="7"/>
      <c r="E312" s="8"/>
      <c r="F312" s="97"/>
      <c r="G312" s="86"/>
    </row>
    <row r="313" spans="1:7">
      <c r="A313" s="7"/>
      <c r="B313" s="75"/>
      <c r="C313" s="63" t="s">
        <v>411</v>
      </c>
      <c r="D313" s="7"/>
      <c r="E313" s="8"/>
      <c r="F313" s="97"/>
      <c r="G313" s="86"/>
    </row>
    <row r="314" spans="1:7">
      <c r="A314" s="7"/>
      <c r="B314" s="75"/>
      <c r="C314" s="63" t="s">
        <v>423</v>
      </c>
      <c r="D314" s="7"/>
      <c r="E314" s="8"/>
      <c r="F314" s="97"/>
      <c r="G314" s="86"/>
    </row>
    <row r="315" spans="1:7">
      <c r="A315" s="7"/>
      <c r="B315" s="75"/>
      <c r="C315" s="63" t="s">
        <v>424</v>
      </c>
      <c r="D315" s="7"/>
      <c r="E315" s="8"/>
      <c r="F315" s="97"/>
      <c r="G315" s="86"/>
    </row>
    <row r="316" spans="1:7">
      <c r="A316" s="7"/>
      <c r="B316" s="13"/>
      <c r="C316" s="63" t="s">
        <v>425</v>
      </c>
      <c r="D316" s="7"/>
      <c r="E316" s="8"/>
      <c r="F316" s="97"/>
      <c r="G316" s="86"/>
    </row>
    <row r="317" spans="1:7">
      <c r="A317" s="7"/>
      <c r="B317" s="75"/>
      <c r="C317" s="63" t="s">
        <v>426</v>
      </c>
      <c r="D317" s="7"/>
      <c r="E317" s="8"/>
      <c r="F317" s="97"/>
      <c r="G317" s="86"/>
    </row>
    <row r="318" spans="1:7">
      <c r="A318" s="7"/>
      <c r="B318" s="75"/>
      <c r="C318" s="63" t="s">
        <v>427</v>
      </c>
      <c r="D318" s="7"/>
      <c r="E318" s="8"/>
      <c r="F318" s="97"/>
      <c r="G318" s="86"/>
    </row>
    <row r="319" spans="1:7" ht="16.2">
      <c r="A319" s="7">
        <v>59</v>
      </c>
      <c r="B319" s="75"/>
      <c r="C319" s="63" t="s">
        <v>428</v>
      </c>
      <c r="D319" s="7" t="s">
        <v>118</v>
      </c>
      <c r="E319" s="8">
        <v>3</v>
      </c>
      <c r="F319" s="97">
        <v>20</v>
      </c>
      <c r="G319" s="86">
        <f>E319*F319</f>
        <v>60</v>
      </c>
    </row>
    <row r="320" spans="1:7">
      <c r="A320" s="7"/>
      <c r="B320" s="75"/>
      <c r="C320" s="63"/>
      <c r="D320" s="7"/>
      <c r="E320" s="8"/>
      <c r="F320" s="97"/>
      <c r="G320" s="86"/>
    </row>
    <row r="321" spans="1:7">
      <c r="A321" s="7"/>
      <c r="B321" s="75"/>
      <c r="C321" s="63" t="s">
        <v>429</v>
      </c>
      <c r="D321" s="7"/>
      <c r="E321" s="8"/>
      <c r="F321" s="97"/>
      <c r="G321" s="86"/>
    </row>
    <row r="322" spans="1:7">
      <c r="A322" s="7"/>
      <c r="B322" s="75"/>
      <c r="C322" s="63"/>
      <c r="D322" s="7"/>
      <c r="E322" s="8"/>
      <c r="F322" s="97"/>
      <c r="G322" s="86"/>
    </row>
    <row r="323" spans="1:7">
      <c r="A323" s="7"/>
      <c r="B323" s="75"/>
      <c r="C323" s="63" t="s">
        <v>430</v>
      </c>
      <c r="D323" s="7"/>
      <c r="E323" s="8"/>
      <c r="F323" s="97"/>
      <c r="G323" s="86"/>
    </row>
    <row r="324" spans="1:7">
      <c r="A324" s="7"/>
      <c r="B324" s="75"/>
      <c r="C324" s="63" t="s">
        <v>431</v>
      </c>
      <c r="D324" s="7"/>
      <c r="E324" s="8"/>
      <c r="F324" s="97"/>
      <c r="G324" s="86"/>
    </row>
    <row r="325" spans="1:7">
      <c r="A325" s="7"/>
      <c r="B325" s="13"/>
      <c r="C325" s="63" t="s">
        <v>432</v>
      </c>
      <c r="D325" s="7"/>
      <c r="E325" s="8"/>
      <c r="F325" s="97"/>
      <c r="G325" s="86"/>
    </row>
    <row r="326" spans="1:7">
      <c r="A326" s="7"/>
      <c r="B326" s="13"/>
      <c r="C326" s="63" t="s">
        <v>433</v>
      </c>
      <c r="D326" s="7"/>
      <c r="E326" s="8"/>
      <c r="F326" s="97"/>
      <c r="G326" s="86"/>
    </row>
    <row r="327" spans="1:7">
      <c r="A327" s="7"/>
      <c r="B327" s="75"/>
      <c r="C327" s="63" t="s">
        <v>434</v>
      </c>
      <c r="D327" s="7"/>
      <c r="E327" s="8"/>
      <c r="F327" s="97"/>
      <c r="G327" s="86"/>
    </row>
    <row r="328" spans="1:7">
      <c r="A328" s="7"/>
      <c r="B328" s="75"/>
      <c r="C328" s="63" t="s">
        <v>435</v>
      </c>
      <c r="D328" s="7"/>
      <c r="E328" s="8"/>
      <c r="F328" s="97"/>
      <c r="G328" s="86"/>
    </row>
    <row r="329" spans="1:7">
      <c r="A329" s="7"/>
      <c r="B329" s="75"/>
      <c r="C329" s="63" t="s">
        <v>436</v>
      </c>
      <c r="D329" s="7"/>
      <c r="E329" s="8"/>
      <c r="F329" s="97"/>
      <c r="G329" s="86"/>
    </row>
    <row r="330" spans="1:7">
      <c r="A330" s="7"/>
      <c r="B330" s="75"/>
      <c r="C330" s="63" t="s">
        <v>437</v>
      </c>
      <c r="D330" s="7"/>
      <c r="E330" s="8"/>
      <c r="F330" s="97"/>
      <c r="G330" s="86"/>
    </row>
    <row r="331" spans="1:7">
      <c r="A331" s="7"/>
      <c r="B331" s="75"/>
      <c r="C331" s="63" t="s">
        <v>438</v>
      </c>
      <c r="D331" s="7"/>
      <c r="E331" s="8"/>
      <c r="F331" s="97"/>
      <c r="G331" s="86"/>
    </row>
    <row r="332" spans="1:7">
      <c r="A332" s="7"/>
      <c r="B332" s="75"/>
      <c r="C332" s="63" t="s">
        <v>402</v>
      </c>
      <c r="D332" s="7"/>
      <c r="E332" s="8"/>
      <c r="F332" s="97"/>
      <c r="G332" s="86"/>
    </row>
    <row r="333" spans="1:7">
      <c r="A333" s="7"/>
      <c r="B333" s="75"/>
      <c r="C333" s="63" t="s">
        <v>439</v>
      </c>
      <c r="D333" s="7"/>
      <c r="E333" s="8"/>
      <c r="F333" s="97"/>
      <c r="G333" s="86"/>
    </row>
    <row r="334" spans="1:7">
      <c r="A334" s="7"/>
      <c r="B334" s="75"/>
      <c r="C334" s="63" t="s">
        <v>440</v>
      </c>
      <c r="D334" s="7"/>
      <c r="E334" s="8"/>
      <c r="F334" s="97"/>
      <c r="G334" s="86"/>
    </row>
    <row r="335" spans="1:7">
      <c r="A335" s="7"/>
      <c r="B335" s="75"/>
      <c r="C335" s="63" t="s">
        <v>405</v>
      </c>
      <c r="D335" s="7"/>
      <c r="E335" s="8"/>
      <c r="F335" s="97"/>
      <c r="G335" s="86"/>
    </row>
    <row r="336" spans="1:7" ht="16.2">
      <c r="A336" s="7">
        <v>60</v>
      </c>
      <c r="B336" s="75"/>
      <c r="C336" s="63" t="s">
        <v>441</v>
      </c>
      <c r="D336" s="7" t="s">
        <v>118</v>
      </c>
      <c r="E336" s="8">
        <v>5.6</v>
      </c>
      <c r="F336" s="97">
        <v>55</v>
      </c>
      <c r="G336" s="86">
        <f>E336*F336</f>
        <v>308</v>
      </c>
    </row>
    <row r="337" spans="1:7">
      <c r="A337" s="7"/>
      <c r="B337" s="75"/>
      <c r="C337" s="63" t="s">
        <v>442</v>
      </c>
      <c r="D337" s="7"/>
      <c r="E337" s="8"/>
      <c r="F337" s="97"/>
      <c r="G337" s="86"/>
    </row>
    <row r="338" spans="1:7">
      <c r="A338" s="7"/>
      <c r="B338" s="75"/>
      <c r="C338" s="63"/>
      <c r="D338" s="7"/>
      <c r="E338" s="8"/>
      <c r="F338" s="97"/>
      <c r="G338" s="86"/>
    </row>
    <row r="339" spans="1:7">
      <c r="A339" s="7"/>
      <c r="B339" s="75"/>
      <c r="C339" s="63" t="s">
        <v>443</v>
      </c>
      <c r="D339" s="7"/>
      <c r="E339" s="8"/>
      <c r="F339" s="97"/>
      <c r="G339" s="86"/>
    </row>
    <row r="340" spans="1:7">
      <c r="A340" s="7"/>
      <c r="B340" s="75"/>
      <c r="C340" s="63"/>
      <c r="D340" s="7"/>
      <c r="E340" s="8"/>
      <c r="F340" s="97"/>
      <c r="G340" s="86"/>
    </row>
    <row r="341" spans="1:7">
      <c r="A341" s="7"/>
      <c r="B341" s="75"/>
      <c r="C341" s="63" t="s">
        <v>444</v>
      </c>
      <c r="D341" s="7"/>
      <c r="E341" s="8"/>
      <c r="F341" s="97"/>
      <c r="G341" s="86"/>
    </row>
    <row r="342" spans="1:7">
      <c r="A342" s="7"/>
      <c r="B342" s="75"/>
      <c r="C342" s="63" t="s">
        <v>445</v>
      </c>
      <c r="D342" s="7"/>
      <c r="E342" s="8"/>
      <c r="F342" s="97"/>
      <c r="G342" s="86"/>
    </row>
    <row r="343" spans="1:7">
      <c r="A343" s="7"/>
      <c r="B343" s="75"/>
      <c r="C343" s="63" t="s">
        <v>446</v>
      </c>
      <c r="D343" s="7"/>
      <c r="E343" s="8"/>
      <c r="F343" s="97"/>
      <c r="G343" s="86"/>
    </row>
    <row r="344" spans="1:7">
      <c r="A344" s="7"/>
      <c r="B344" s="75"/>
      <c r="C344" s="63" t="s">
        <v>447</v>
      </c>
      <c r="D344" s="7"/>
      <c r="E344" s="8"/>
      <c r="F344" s="97"/>
      <c r="G344" s="86"/>
    </row>
    <row r="345" spans="1:7">
      <c r="A345" s="7"/>
      <c r="B345" s="75"/>
      <c r="C345" s="63" t="s">
        <v>448</v>
      </c>
      <c r="D345" s="7"/>
      <c r="E345" s="8"/>
      <c r="F345" s="97"/>
      <c r="G345" s="86"/>
    </row>
    <row r="346" spans="1:7">
      <c r="A346" s="7"/>
      <c r="B346" s="75"/>
      <c r="C346" s="63" t="s">
        <v>449</v>
      </c>
      <c r="D346" s="7"/>
      <c r="E346" s="8"/>
      <c r="F346" s="97"/>
      <c r="G346" s="86"/>
    </row>
    <row r="347" spans="1:7">
      <c r="A347" s="7"/>
      <c r="B347" s="75"/>
      <c r="C347" s="63" t="s">
        <v>450</v>
      </c>
      <c r="D347" s="7"/>
      <c r="E347" s="8"/>
      <c r="F347" s="97"/>
      <c r="G347" s="86"/>
    </row>
    <row r="348" spans="1:7">
      <c r="A348" s="7"/>
      <c r="B348" s="75"/>
      <c r="C348" s="63" t="s">
        <v>451</v>
      </c>
      <c r="D348" s="7"/>
      <c r="E348" s="8"/>
      <c r="F348" s="97"/>
      <c r="G348" s="86"/>
    </row>
    <row r="349" spans="1:7">
      <c r="A349" s="7"/>
      <c r="B349" s="75"/>
      <c r="C349" s="63" t="s">
        <v>452</v>
      </c>
      <c r="D349" s="7"/>
      <c r="E349" s="8"/>
      <c r="F349" s="97"/>
      <c r="G349" s="86"/>
    </row>
    <row r="350" spans="1:7">
      <c r="A350" s="7"/>
      <c r="B350" s="75"/>
      <c r="C350" s="63" t="s">
        <v>453</v>
      </c>
      <c r="D350" s="7"/>
      <c r="E350" s="8"/>
      <c r="F350" s="97"/>
      <c r="G350" s="86"/>
    </row>
    <row r="351" spans="1:7">
      <c r="A351" s="7"/>
      <c r="B351" s="75"/>
      <c r="C351" s="63" t="s">
        <v>454</v>
      </c>
      <c r="D351" s="7"/>
      <c r="E351" s="8"/>
      <c r="F351" s="97"/>
      <c r="G351" s="86"/>
    </row>
    <row r="352" spans="1:7" ht="16.2">
      <c r="A352" s="7"/>
      <c r="B352" s="75"/>
      <c r="C352" s="63" t="s">
        <v>455</v>
      </c>
      <c r="D352" s="7" t="s">
        <v>118</v>
      </c>
      <c r="E352" s="8">
        <v>3.3</v>
      </c>
      <c r="F352" s="97">
        <v>55</v>
      </c>
      <c r="G352" s="86">
        <f>E352*F352</f>
        <v>181.5</v>
      </c>
    </row>
    <row r="353" spans="1:7">
      <c r="A353" s="7">
        <v>61</v>
      </c>
      <c r="B353" s="75"/>
      <c r="C353" s="63" t="s">
        <v>456</v>
      </c>
      <c r="D353" s="7"/>
      <c r="E353" s="8"/>
      <c r="F353" s="97"/>
      <c r="G353" s="86"/>
    </row>
    <row r="354" spans="1:7">
      <c r="A354" s="7"/>
      <c r="B354" s="75"/>
      <c r="C354" s="63"/>
      <c r="D354" s="7"/>
      <c r="E354" s="8"/>
      <c r="F354" s="97"/>
      <c r="G354" s="86"/>
    </row>
    <row r="355" spans="1:7">
      <c r="A355" s="7"/>
      <c r="B355" s="75"/>
      <c r="C355" s="63"/>
      <c r="D355" s="7"/>
      <c r="E355" s="8"/>
      <c r="F355" s="97"/>
      <c r="G355" s="86"/>
    </row>
    <row r="356" spans="1:7">
      <c r="A356" s="7"/>
      <c r="B356" s="75"/>
      <c r="C356" s="63"/>
      <c r="D356" s="7"/>
      <c r="E356" s="8"/>
      <c r="F356" s="97"/>
      <c r="G356" s="86"/>
    </row>
    <row r="357" spans="1:7">
      <c r="A357" s="7"/>
      <c r="B357" s="75"/>
      <c r="C357" s="63"/>
      <c r="D357" s="7"/>
      <c r="E357" s="8"/>
      <c r="F357" s="97"/>
      <c r="G357" s="86"/>
    </row>
    <row r="358" spans="1:7">
      <c r="A358" s="7"/>
      <c r="B358" s="75"/>
      <c r="C358" s="63"/>
      <c r="D358" s="7"/>
      <c r="E358" s="8"/>
      <c r="F358" s="97"/>
      <c r="G358" s="86"/>
    </row>
    <row r="359" spans="1:7">
      <c r="A359" s="7"/>
      <c r="B359" s="75"/>
      <c r="C359" s="63"/>
      <c r="D359" s="7"/>
      <c r="E359" s="8"/>
      <c r="F359" s="97"/>
      <c r="G359" s="86"/>
    </row>
    <row r="360" spans="1:7" ht="14.4" thickBot="1">
      <c r="A360" s="141"/>
      <c r="B360" s="146"/>
      <c r="C360" s="142"/>
      <c r="D360" s="141"/>
      <c r="E360" s="143"/>
      <c r="F360" s="143"/>
      <c r="G360" s="148"/>
    </row>
    <row r="361" spans="1:7" ht="14.4" thickBot="1">
      <c r="A361" s="2137" t="s">
        <v>139</v>
      </c>
      <c r="B361" s="2138"/>
      <c r="C361" s="2138"/>
      <c r="D361" s="2138"/>
      <c r="E361" s="2141"/>
      <c r="F361" s="50"/>
      <c r="G361" s="17">
        <f>SUM(G304:G360)</f>
        <v>287677.77</v>
      </c>
    </row>
  </sheetData>
  <mergeCells count="37">
    <mergeCell ref="G228:G229"/>
    <mergeCell ref="A230:F230"/>
    <mergeCell ref="A361:E361"/>
    <mergeCell ref="A154:F154"/>
    <mergeCell ref="A226:E226"/>
    <mergeCell ref="C228:C229"/>
    <mergeCell ref="D228:D229"/>
    <mergeCell ref="E228:E229"/>
    <mergeCell ref="F228:F229"/>
    <mergeCell ref="A300:E300"/>
    <mergeCell ref="C302:C303"/>
    <mergeCell ref="D302:D303"/>
    <mergeCell ref="E302:E303"/>
    <mergeCell ref="F302:F303"/>
    <mergeCell ref="G302:G303"/>
    <mergeCell ref="A304:F304"/>
    <mergeCell ref="G152:G153"/>
    <mergeCell ref="C81:C82"/>
    <mergeCell ref="D81:D82"/>
    <mergeCell ref="E81:E82"/>
    <mergeCell ref="F81:F82"/>
    <mergeCell ref="G81:G82"/>
    <mergeCell ref="A83:F83"/>
    <mergeCell ref="A150:E150"/>
    <mergeCell ref="C152:C153"/>
    <mergeCell ref="D152:D153"/>
    <mergeCell ref="E152:E153"/>
    <mergeCell ref="F152:F153"/>
    <mergeCell ref="F7:F8"/>
    <mergeCell ref="G7:G8"/>
    <mergeCell ref="A78:F78"/>
    <mergeCell ref="A4:D4"/>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64" fitToHeight="0" orientation="portrait" r:id="rId1"/>
  <headerFooter scaleWithDoc="0" alignWithMargins="0">
    <oddHeader>&amp;C&amp;"Arial Narrow,Regular"&amp;10C39.&amp;P</oddHeader>
    <oddFooter>&amp;L&amp;"Arial Narrow,Regular"Giyani Waste Disposal Site Development</oddFooter>
  </headerFooter>
  <rowBreaks count="4" manualBreakCount="4">
    <brk id="78" max="6" man="1"/>
    <brk id="150" max="16383" man="1"/>
    <brk id="226" max="6" man="1"/>
    <brk id="30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4"/>
  <sheetViews>
    <sheetView view="pageBreakPreview" topLeftCell="A211" zoomScaleNormal="100" zoomScaleSheetLayoutView="100" workbookViewId="0">
      <selection activeCell="C128" sqref="C128"/>
    </sheetView>
  </sheetViews>
  <sheetFormatPr defaultColWidth="8.88671875" defaultRowHeight="13.8"/>
  <cols>
    <col min="1" max="1" width="11.6640625" style="35" customWidth="1"/>
    <col min="2" max="2" width="15.6640625" style="929" customWidth="1"/>
    <col min="3" max="3" width="57.109375" style="35" customWidth="1"/>
    <col min="4" max="6" width="15.6640625" style="35" customWidth="1"/>
    <col min="7" max="7" width="15.6640625" style="1007" customWidth="1"/>
    <col min="8" max="8" width="16.44140625" style="1007" bestFit="1" customWidth="1"/>
    <col min="9" max="221" width="8.88671875" style="2"/>
    <col min="222" max="222" width="0" style="2" hidden="1" customWidth="1"/>
    <col min="223" max="223" width="11.6640625" style="2" customWidth="1"/>
    <col min="224" max="224" width="15.6640625" style="2" customWidth="1"/>
    <col min="225" max="225" width="50.6640625" style="2" customWidth="1"/>
    <col min="226" max="226" width="9.6640625" style="2" customWidth="1"/>
    <col min="227" max="227" width="11.88671875" style="2" customWidth="1"/>
    <col min="228" max="228" width="15.33203125" style="2" bestFit="1" customWidth="1"/>
    <col min="229" max="229" width="16.6640625" style="2" customWidth="1"/>
    <col min="230" max="477" width="8.88671875" style="2"/>
    <col min="478" max="478" width="0" style="2" hidden="1" customWidth="1"/>
    <col min="479" max="479" width="11.6640625" style="2" customWidth="1"/>
    <col min="480" max="480" width="15.6640625" style="2" customWidth="1"/>
    <col min="481" max="481" width="50.6640625" style="2" customWidth="1"/>
    <col min="482" max="482" width="9.6640625" style="2" customWidth="1"/>
    <col min="483" max="483" width="11.88671875" style="2" customWidth="1"/>
    <col min="484" max="484" width="15.33203125" style="2" bestFit="1" customWidth="1"/>
    <col min="485" max="485" width="16.6640625" style="2" customWidth="1"/>
    <col min="486" max="733" width="8.88671875" style="2"/>
    <col min="734" max="734" width="0" style="2" hidden="1" customWidth="1"/>
    <col min="735" max="735" width="11.6640625" style="2" customWidth="1"/>
    <col min="736" max="736" width="15.6640625" style="2" customWidth="1"/>
    <col min="737" max="737" width="50.6640625" style="2" customWidth="1"/>
    <col min="738" max="738" width="9.6640625" style="2" customWidth="1"/>
    <col min="739" max="739" width="11.88671875" style="2" customWidth="1"/>
    <col min="740" max="740" width="15.33203125" style="2" bestFit="1" customWidth="1"/>
    <col min="741" max="741" width="16.6640625" style="2" customWidth="1"/>
    <col min="742" max="989" width="8.88671875" style="2"/>
    <col min="990" max="990" width="0" style="2" hidden="1" customWidth="1"/>
    <col min="991" max="991" width="11.6640625" style="2" customWidth="1"/>
    <col min="992" max="992" width="15.6640625" style="2" customWidth="1"/>
    <col min="993" max="993" width="50.6640625" style="2" customWidth="1"/>
    <col min="994" max="994" width="9.6640625" style="2" customWidth="1"/>
    <col min="995" max="995" width="11.88671875" style="2" customWidth="1"/>
    <col min="996" max="996" width="15.33203125" style="2" bestFit="1" customWidth="1"/>
    <col min="997" max="997" width="16.6640625" style="2" customWidth="1"/>
    <col min="998" max="1245" width="8.88671875" style="2"/>
    <col min="1246" max="1246" width="0" style="2" hidden="1" customWidth="1"/>
    <col min="1247" max="1247" width="11.6640625" style="2" customWidth="1"/>
    <col min="1248" max="1248" width="15.6640625" style="2" customWidth="1"/>
    <col min="1249" max="1249" width="50.6640625" style="2" customWidth="1"/>
    <col min="1250" max="1250" width="9.6640625" style="2" customWidth="1"/>
    <col min="1251" max="1251" width="11.88671875" style="2" customWidth="1"/>
    <col min="1252" max="1252" width="15.33203125" style="2" bestFit="1" customWidth="1"/>
    <col min="1253" max="1253" width="16.6640625" style="2" customWidth="1"/>
    <col min="1254" max="1501" width="8.88671875" style="2"/>
    <col min="1502" max="1502" width="0" style="2" hidden="1" customWidth="1"/>
    <col min="1503" max="1503" width="11.6640625" style="2" customWidth="1"/>
    <col min="1504" max="1504" width="15.6640625" style="2" customWidth="1"/>
    <col min="1505" max="1505" width="50.6640625" style="2" customWidth="1"/>
    <col min="1506" max="1506" width="9.6640625" style="2" customWidth="1"/>
    <col min="1507" max="1507" width="11.88671875" style="2" customWidth="1"/>
    <col min="1508" max="1508" width="15.33203125" style="2" bestFit="1" customWidth="1"/>
    <col min="1509" max="1509" width="16.6640625" style="2" customWidth="1"/>
    <col min="1510" max="1757" width="8.88671875" style="2"/>
    <col min="1758" max="1758" width="0" style="2" hidden="1" customWidth="1"/>
    <col min="1759" max="1759" width="11.6640625" style="2" customWidth="1"/>
    <col min="1760" max="1760" width="15.6640625" style="2" customWidth="1"/>
    <col min="1761" max="1761" width="50.6640625" style="2" customWidth="1"/>
    <col min="1762" max="1762" width="9.6640625" style="2" customWidth="1"/>
    <col min="1763" max="1763" width="11.88671875" style="2" customWidth="1"/>
    <col min="1764" max="1764" width="15.33203125" style="2" bestFit="1" customWidth="1"/>
    <col min="1765" max="1765" width="16.6640625" style="2" customWidth="1"/>
    <col min="1766" max="2013" width="8.88671875" style="2"/>
    <col min="2014" max="2014" width="0" style="2" hidden="1" customWidth="1"/>
    <col min="2015" max="2015" width="11.6640625" style="2" customWidth="1"/>
    <col min="2016" max="2016" width="15.6640625" style="2" customWidth="1"/>
    <col min="2017" max="2017" width="50.6640625" style="2" customWidth="1"/>
    <col min="2018" max="2018" width="9.6640625" style="2" customWidth="1"/>
    <col min="2019" max="2019" width="11.88671875" style="2" customWidth="1"/>
    <col min="2020" max="2020" width="15.33203125" style="2" bestFit="1" customWidth="1"/>
    <col min="2021" max="2021" width="16.6640625" style="2" customWidth="1"/>
    <col min="2022" max="2269" width="8.88671875" style="2"/>
    <col min="2270" max="2270" width="0" style="2" hidden="1" customWidth="1"/>
    <col min="2271" max="2271" width="11.6640625" style="2" customWidth="1"/>
    <col min="2272" max="2272" width="15.6640625" style="2" customWidth="1"/>
    <col min="2273" max="2273" width="50.6640625" style="2" customWidth="1"/>
    <col min="2274" max="2274" width="9.6640625" style="2" customWidth="1"/>
    <col min="2275" max="2275" width="11.88671875" style="2" customWidth="1"/>
    <col min="2276" max="2276" width="15.33203125" style="2" bestFit="1" customWidth="1"/>
    <col min="2277" max="2277" width="16.6640625" style="2" customWidth="1"/>
    <col min="2278" max="2525" width="8.88671875" style="2"/>
    <col min="2526" max="2526" width="0" style="2" hidden="1" customWidth="1"/>
    <col min="2527" max="2527" width="11.6640625" style="2" customWidth="1"/>
    <col min="2528" max="2528" width="15.6640625" style="2" customWidth="1"/>
    <col min="2529" max="2529" width="50.6640625" style="2" customWidth="1"/>
    <col min="2530" max="2530" width="9.6640625" style="2" customWidth="1"/>
    <col min="2531" max="2531" width="11.88671875" style="2" customWidth="1"/>
    <col min="2532" max="2532" width="15.33203125" style="2" bestFit="1" customWidth="1"/>
    <col min="2533" max="2533" width="16.6640625" style="2" customWidth="1"/>
    <col min="2534" max="2781" width="8.88671875" style="2"/>
    <col min="2782" max="2782" width="0" style="2" hidden="1" customWidth="1"/>
    <col min="2783" max="2783" width="11.6640625" style="2" customWidth="1"/>
    <col min="2784" max="2784" width="15.6640625" style="2" customWidth="1"/>
    <col min="2785" max="2785" width="50.6640625" style="2" customWidth="1"/>
    <col min="2786" max="2786" width="9.6640625" style="2" customWidth="1"/>
    <col min="2787" max="2787" width="11.88671875" style="2" customWidth="1"/>
    <col min="2788" max="2788" width="15.33203125" style="2" bestFit="1" customWidth="1"/>
    <col min="2789" max="2789" width="16.6640625" style="2" customWidth="1"/>
    <col min="2790" max="3037" width="8.88671875" style="2"/>
    <col min="3038" max="3038" width="0" style="2" hidden="1" customWidth="1"/>
    <col min="3039" max="3039" width="11.6640625" style="2" customWidth="1"/>
    <col min="3040" max="3040" width="15.6640625" style="2" customWidth="1"/>
    <col min="3041" max="3041" width="50.6640625" style="2" customWidth="1"/>
    <col min="3042" max="3042" width="9.6640625" style="2" customWidth="1"/>
    <col min="3043" max="3043" width="11.88671875" style="2" customWidth="1"/>
    <col min="3044" max="3044" width="15.33203125" style="2" bestFit="1" customWidth="1"/>
    <col min="3045" max="3045" width="16.6640625" style="2" customWidth="1"/>
    <col min="3046" max="3293" width="8.88671875" style="2"/>
    <col min="3294" max="3294" width="0" style="2" hidden="1" customWidth="1"/>
    <col min="3295" max="3295" width="11.6640625" style="2" customWidth="1"/>
    <col min="3296" max="3296" width="15.6640625" style="2" customWidth="1"/>
    <col min="3297" max="3297" width="50.6640625" style="2" customWidth="1"/>
    <col min="3298" max="3298" width="9.6640625" style="2" customWidth="1"/>
    <col min="3299" max="3299" width="11.88671875" style="2" customWidth="1"/>
    <col min="3300" max="3300" width="15.33203125" style="2" bestFit="1" customWidth="1"/>
    <col min="3301" max="3301" width="16.6640625" style="2" customWidth="1"/>
    <col min="3302" max="3549" width="8.88671875" style="2"/>
    <col min="3550" max="3550" width="0" style="2" hidden="1" customWidth="1"/>
    <col min="3551" max="3551" width="11.6640625" style="2" customWidth="1"/>
    <col min="3552" max="3552" width="15.6640625" style="2" customWidth="1"/>
    <col min="3553" max="3553" width="50.6640625" style="2" customWidth="1"/>
    <col min="3554" max="3554" width="9.6640625" style="2" customWidth="1"/>
    <col min="3555" max="3555" width="11.88671875" style="2" customWidth="1"/>
    <col min="3556" max="3556" width="15.33203125" style="2" bestFit="1" customWidth="1"/>
    <col min="3557" max="3557" width="16.6640625" style="2" customWidth="1"/>
    <col min="3558" max="3805" width="8.88671875" style="2"/>
    <col min="3806" max="3806" width="0" style="2" hidden="1" customWidth="1"/>
    <col min="3807" max="3807" width="11.6640625" style="2" customWidth="1"/>
    <col min="3808" max="3808" width="15.6640625" style="2" customWidth="1"/>
    <col min="3809" max="3809" width="50.6640625" style="2" customWidth="1"/>
    <col min="3810" max="3810" width="9.6640625" style="2" customWidth="1"/>
    <col min="3811" max="3811" width="11.88671875" style="2" customWidth="1"/>
    <col min="3812" max="3812" width="15.33203125" style="2" bestFit="1" customWidth="1"/>
    <col min="3813" max="3813" width="16.6640625" style="2" customWidth="1"/>
    <col min="3814" max="4061" width="8.88671875" style="2"/>
    <col min="4062" max="4062" width="0" style="2" hidden="1" customWidth="1"/>
    <col min="4063" max="4063" width="11.6640625" style="2" customWidth="1"/>
    <col min="4064" max="4064" width="15.6640625" style="2" customWidth="1"/>
    <col min="4065" max="4065" width="50.6640625" style="2" customWidth="1"/>
    <col min="4066" max="4066" width="9.6640625" style="2" customWidth="1"/>
    <col min="4067" max="4067" width="11.88671875" style="2" customWidth="1"/>
    <col min="4068" max="4068" width="15.33203125" style="2" bestFit="1" customWidth="1"/>
    <col min="4069" max="4069" width="16.6640625" style="2" customWidth="1"/>
    <col min="4070" max="4317" width="8.88671875" style="2"/>
    <col min="4318" max="4318" width="0" style="2" hidden="1" customWidth="1"/>
    <col min="4319" max="4319" width="11.6640625" style="2" customWidth="1"/>
    <col min="4320" max="4320" width="15.6640625" style="2" customWidth="1"/>
    <col min="4321" max="4321" width="50.6640625" style="2" customWidth="1"/>
    <col min="4322" max="4322" width="9.6640625" style="2" customWidth="1"/>
    <col min="4323" max="4323" width="11.88671875" style="2" customWidth="1"/>
    <col min="4324" max="4324" width="15.33203125" style="2" bestFit="1" customWidth="1"/>
    <col min="4325" max="4325" width="16.6640625" style="2" customWidth="1"/>
    <col min="4326" max="4573" width="8.88671875" style="2"/>
    <col min="4574" max="4574" width="0" style="2" hidden="1" customWidth="1"/>
    <col min="4575" max="4575" width="11.6640625" style="2" customWidth="1"/>
    <col min="4576" max="4576" width="15.6640625" style="2" customWidth="1"/>
    <col min="4577" max="4577" width="50.6640625" style="2" customWidth="1"/>
    <col min="4578" max="4578" width="9.6640625" style="2" customWidth="1"/>
    <col min="4579" max="4579" width="11.88671875" style="2" customWidth="1"/>
    <col min="4580" max="4580" width="15.33203125" style="2" bestFit="1" customWidth="1"/>
    <col min="4581" max="4581" width="16.6640625" style="2" customWidth="1"/>
    <col min="4582" max="4829" width="8.88671875" style="2"/>
    <col min="4830" max="4830" width="0" style="2" hidden="1" customWidth="1"/>
    <col min="4831" max="4831" width="11.6640625" style="2" customWidth="1"/>
    <col min="4832" max="4832" width="15.6640625" style="2" customWidth="1"/>
    <col min="4833" max="4833" width="50.6640625" style="2" customWidth="1"/>
    <col min="4834" max="4834" width="9.6640625" style="2" customWidth="1"/>
    <col min="4835" max="4835" width="11.88671875" style="2" customWidth="1"/>
    <col min="4836" max="4836" width="15.33203125" style="2" bestFit="1" customWidth="1"/>
    <col min="4837" max="4837" width="16.6640625" style="2" customWidth="1"/>
    <col min="4838" max="5085" width="8.88671875" style="2"/>
    <col min="5086" max="5086" width="0" style="2" hidden="1" customWidth="1"/>
    <col min="5087" max="5087" width="11.6640625" style="2" customWidth="1"/>
    <col min="5088" max="5088" width="15.6640625" style="2" customWidth="1"/>
    <col min="5089" max="5089" width="50.6640625" style="2" customWidth="1"/>
    <col min="5090" max="5090" width="9.6640625" style="2" customWidth="1"/>
    <col min="5091" max="5091" width="11.88671875" style="2" customWidth="1"/>
    <col min="5092" max="5092" width="15.33203125" style="2" bestFit="1" customWidth="1"/>
    <col min="5093" max="5093" width="16.6640625" style="2" customWidth="1"/>
    <col min="5094" max="5341" width="8.88671875" style="2"/>
    <col min="5342" max="5342" width="0" style="2" hidden="1" customWidth="1"/>
    <col min="5343" max="5343" width="11.6640625" style="2" customWidth="1"/>
    <col min="5344" max="5344" width="15.6640625" style="2" customWidth="1"/>
    <col min="5345" max="5345" width="50.6640625" style="2" customWidth="1"/>
    <col min="5346" max="5346" width="9.6640625" style="2" customWidth="1"/>
    <col min="5347" max="5347" width="11.88671875" style="2" customWidth="1"/>
    <col min="5348" max="5348" width="15.33203125" style="2" bestFit="1" customWidth="1"/>
    <col min="5349" max="5349" width="16.6640625" style="2" customWidth="1"/>
    <col min="5350" max="5597" width="8.88671875" style="2"/>
    <col min="5598" max="5598" width="0" style="2" hidden="1" customWidth="1"/>
    <col min="5599" max="5599" width="11.6640625" style="2" customWidth="1"/>
    <col min="5600" max="5600" width="15.6640625" style="2" customWidth="1"/>
    <col min="5601" max="5601" width="50.6640625" style="2" customWidth="1"/>
    <col min="5602" max="5602" width="9.6640625" style="2" customWidth="1"/>
    <col min="5603" max="5603" width="11.88671875" style="2" customWidth="1"/>
    <col min="5604" max="5604" width="15.33203125" style="2" bestFit="1" customWidth="1"/>
    <col min="5605" max="5605" width="16.6640625" style="2" customWidth="1"/>
    <col min="5606" max="5853" width="8.88671875" style="2"/>
    <col min="5854" max="5854" width="0" style="2" hidden="1" customWidth="1"/>
    <col min="5855" max="5855" width="11.6640625" style="2" customWidth="1"/>
    <col min="5856" max="5856" width="15.6640625" style="2" customWidth="1"/>
    <col min="5857" max="5857" width="50.6640625" style="2" customWidth="1"/>
    <col min="5858" max="5858" width="9.6640625" style="2" customWidth="1"/>
    <col min="5859" max="5859" width="11.88671875" style="2" customWidth="1"/>
    <col min="5860" max="5860" width="15.33203125" style="2" bestFit="1" customWidth="1"/>
    <col min="5861" max="5861" width="16.6640625" style="2" customWidth="1"/>
    <col min="5862" max="6109" width="8.88671875" style="2"/>
    <col min="6110" max="6110" width="0" style="2" hidden="1" customWidth="1"/>
    <col min="6111" max="6111" width="11.6640625" style="2" customWidth="1"/>
    <col min="6112" max="6112" width="15.6640625" style="2" customWidth="1"/>
    <col min="6113" max="6113" width="50.6640625" style="2" customWidth="1"/>
    <col min="6114" max="6114" width="9.6640625" style="2" customWidth="1"/>
    <col min="6115" max="6115" width="11.88671875" style="2" customWidth="1"/>
    <col min="6116" max="6116" width="15.33203125" style="2" bestFit="1" customWidth="1"/>
    <col min="6117" max="6117" width="16.6640625" style="2" customWidth="1"/>
    <col min="6118" max="6365" width="8.88671875" style="2"/>
    <col min="6366" max="6366" width="0" style="2" hidden="1" customWidth="1"/>
    <col min="6367" max="6367" width="11.6640625" style="2" customWidth="1"/>
    <col min="6368" max="6368" width="15.6640625" style="2" customWidth="1"/>
    <col min="6369" max="6369" width="50.6640625" style="2" customWidth="1"/>
    <col min="6370" max="6370" width="9.6640625" style="2" customWidth="1"/>
    <col min="6371" max="6371" width="11.88671875" style="2" customWidth="1"/>
    <col min="6372" max="6372" width="15.33203125" style="2" bestFit="1" customWidth="1"/>
    <col min="6373" max="6373" width="16.6640625" style="2" customWidth="1"/>
    <col min="6374" max="6621" width="8.88671875" style="2"/>
    <col min="6622" max="6622" width="0" style="2" hidden="1" customWidth="1"/>
    <col min="6623" max="6623" width="11.6640625" style="2" customWidth="1"/>
    <col min="6624" max="6624" width="15.6640625" style="2" customWidth="1"/>
    <col min="6625" max="6625" width="50.6640625" style="2" customWidth="1"/>
    <col min="6626" max="6626" width="9.6640625" style="2" customWidth="1"/>
    <col min="6627" max="6627" width="11.88671875" style="2" customWidth="1"/>
    <col min="6628" max="6628" width="15.33203125" style="2" bestFit="1" customWidth="1"/>
    <col min="6629" max="6629" width="16.6640625" style="2" customWidth="1"/>
    <col min="6630" max="6877" width="8.88671875" style="2"/>
    <col min="6878" max="6878" width="0" style="2" hidden="1" customWidth="1"/>
    <col min="6879" max="6879" width="11.6640625" style="2" customWidth="1"/>
    <col min="6880" max="6880" width="15.6640625" style="2" customWidth="1"/>
    <col min="6881" max="6881" width="50.6640625" style="2" customWidth="1"/>
    <col min="6882" max="6882" width="9.6640625" style="2" customWidth="1"/>
    <col min="6883" max="6883" width="11.88671875" style="2" customWidth="1"/>
    <col min="6884" max="6884" width="15.33203125" style="2" bestFit="1" customWidth="1"/>
    <col min="6885" max="6885" width="16.6640625" style="2" customWidth="1"/>
    <col min="6886" max="7133" width="8.88671875" style="2"/>
    <col min="7134" max="7134" width="0" style="2" hidden="1" customWidth="1"/>
    <col min="7135" max="7135" width="11.6640625" style="2" customWidth="1"/>
    <col min="7136" max="7136" width="15.6640625" style="2" customWidth="1"/>
    <col min="7137" max="7137" width="50.6640625" style="2" customWidth="1"/>
    <col min="7138" max="7138" width="9.6640625" style="2" customWidth="1"/>
    <col min="7139" max="7139" width="11.88671875" style="2" customWidth="1"/>
    <col min="7140" max="7140" width="15.33203125" style="2" bestFit="1" customWidth="1"/>
    <col min="7141" max="7141" width="16.6640625" style="2" customWidth="1"/>
    <col min="7142" max="7389" width="8.88671875" style="2"/>
    <col min="7390" max="7390" width="0" style="2" hidden="1" customWidth="1"/>
    <col min="7391" max="7391" width="11.6640625" style="2" customWidth="1"/>
    <col min="7392" max="7392" width="15.6640625" style="2" customWidth="1"/>
    <col min="7393" max="7393" width="50.6640625" style="2" customWidth="1"/>
    <col min="7394" max="7394" width="9.6640625" style="2" customWidth="1"/>
    <col min="7395" max="7395" width="11.88671875" style="2" customWidth="1"/>
    <col min="7396" max="7396" width="15.33203125" style="2" bestFit="1" customWidth="1"/>
    <col min="7397" max="7397" width="16.6640625" style="2" customWidth="1"/>
    <col min="7398" max="7645" width="8.88671875" style="2"/>
    <col min="7646" max="7646" width="0" style="2" hidden="1" customWidth="1"/>
    <col min="7647" max="7647" width="11.6640625" style="2" customWidth="1"/>
    <col min="7648" max="7648" width="15.6640625" style="2" customWidth="1"/>
    <col min="7649" max="7649" width="50.6640625" style="2" customWidth="1"/>
    <col min="7650" max="7650" width="9.6640625" style="2" customWidth="1"/>
    <col min="7651" max="7651" width="11.88671875" style="2" customWidth="1"/>
    <col min="7652" max="7652" width="15.33203125" style="2" bestFit="1" customWidth="1"/>
    <col min="7653" max="7653" width="16.6640625" style="2" customWidth="1"/>
    <col min="7654" max="7901" width="8.88671875" style="2"/>
    <col min="7902" max="7902" width="0" style="2" hidden="1" customWidth="1"/>
    <col min="7903" max="7903" width="11.6640625" style="2" customWidth="1"/>
    <col min="7904" max="7904" width="15.6640625" style="2" customWidth="1"/>
    <col min="7905" max="7905" width="50.6640625" style="2" customWidth="1"/>
    <col min="7906" max="7906" width="9.6640625" style="2" customWidth="1"/>
    <col min="7907" max="7907" width="11.88671875" style="2" customWidth="1"/>
    <col min="7908" max="7908" width="15.33203125" style="2" bestFit="1" customWidth="1"/>
    <col min="7909" max="7909" width="16.6640625" style="2" customWidth="1"/>
    <col min="7910" max="8157" width="8.88671875" style="2"/>
    <col min="8158" max="8158" width="0" style="2" hidden="1" customWidth="1"/>
    <col min="8159" max="8159" width="11.6640625" style="2" customWidth="1"/>
    <col min="8160" max="8160" width="15.6640625" style="2" customWidth="1"/>
    <col min="8161" max="8161" width="50.6640625" style="2" customWidth="1"/>
    <col min="8162" max="8162" width="9.6640625" style="2" customWidth="1"/>
    <col min="8163" max="8163" width="11.88671875" style="2" customWidth="1"/>
    <col min="8164" max="8164" width="15.33203125" style="2" bestFit="1" customWidth="1"/>
    <col min="8165" max="8165" width="16.6640625" style="2" customWidth="1"/>
    <col min="8166" max="8413" width="8.88671875" style="2"/>
    <col min="8414" max="8414" width="0" style="2" hidden="1" customWidth="1"/>
    <col min="8415" max="8415" width="11.6640625" style="2" customWidth="1"/>
    <col min="8416" max="8416" width="15.6640625" style="2" customWidth="1"/>
    <col min="8417" max="8417" width="50.6640625" style="2" customWidth="1"/>
    <col min="8418" max="8418" width="9.6640625" style="2" customWidth="1"/>
    <col min="8419" max="8419" width="11.88671875" style="2" customWidth="1"/>
    <col min="8420" max="8420" width="15.33203125" style="2" bestFit="1" customWidth="1"/>
    <col min="8421" max="8421" width="16.6640625" style="2" customWidth="1"/>
    <col min="8422" max="8669" width="8.88671875" style="2"/>
    <col min="8670" max="8670" width="0" style="2" hidden="1" customWidth="1"/>
    <col min="8671" max="8671" width="11.6640625" style="2" customWidth="1"/>
    <col min="8672" max="8672" width="15.6640625" style="2" customWidth="1"/>
    <col min="8673" max="8673" width="50.6640625" style="2" customWidth="1"/>
    <col min="8674" max="8674" width="9.6640625" style="2" customWidth="1"/>
    <col min="8675" max="8675" width="11.88671875" style="2" customWidth="1"/>
    <col min="8676" max="8676" width="15.33203125" style="2" bestFit="1" customWidth="1"/>
    <col min="8677" max="8677" width="16.6640625" style="2" customWidth="1"/>
    <col min="8678" max="8925" width="8.88671875" style="2"/>
    <col min="8926" max="8926" width="0" style="2" hidden="1" customWidth="1"/>
    <col min="8927" max="8927" width="11.6640625" style="2" customWidth="1"/>
    <col min="8928" max="8928" width="15.6640625" style="2" customWidth="1"/>
    <col min="8929" max="8929" width="50.6640625" style="2" customWidth="1"/>
    <col min="8930" max="8930" width="9.6640625" style="2" customWidth="1"/>
    <col min="8931" max="8931" width="11.88671875" style="2" customWidth="1"/>
    <col min="8932" max="8932" width="15.33203125" style="2" bestFit="1" customWidth="1"/>
    <col min="8933" max="8933" width="16.6640625" style="2" customWidth="1"/>
    <col min="8934" max="9181" width="8.88671875" style="2"/>
    <col min="9182" max="9182" width="0" style="2" hidden="1" customWidth="1"/>
    <col min="9183" max="9183" width="11.6640625" style="2" customWidth="1"/>
    <col min="9184" max="9184" width="15.6640625" style="2" customWidth="1"/>
    <col min="9185" max="9185" width="50.6640625" style="2" customWidth="1"/>
    <col min="9186" max="9186" width="9.6640625" style="2" customWidth="1"/>
    <col min="9187" max="9187" width="11.88671875" style="2" customWidth="1"/>
    <col min="9188" max="9188" width="15.33203125" style="2" bestFit="1" customWidth="1"/>
    <col min="9189" max="9189" width="16.6640625" style="2" customWidth="1"/>
    <col min="9190" max="9437" width="8.88671875" style="2"/>
    <col min="9438" max="9438" width="0" style="2" hidden="1" customWidth="1"/>
    <col min="9439" max="9439" width="11.6640625" style="2" customWidth="1"/>
    <col min="9440" max="9440" width="15.6640625" style="2" customWidth="1"/>
    <col min="9441" max="9441" width="50.6640625" style="2" customWidth="1"/>
    <col min="9442" max="9442" width="9.6640625" style="2" customWidth="1"/>
    <col min="9443" max="9443" width="11.88671875" style="2" customWidth="1"/>
    <col min="9444" max="9444" width="15.33203125" style="2" bestFit="1" customWidth="1"/>
    <col min="9445" max="9445" width="16.6640625" style="2" customWidth="1"/>
    <col min="9446" max="9693" width="8.88671875" style="2"/>
    <col min="9694" max="9694" width="0" style="2" hidden="1" customWidth="1"/>
    <col min="9695" max="9695" width="11.6640625" style="2" customWidth="1"/>
    <col min="9696" max="9696" width="15.6640625" style="2" customWidth="1"/>
    <col min="9697" max="9697" width="50.6640625" style="2" customWidth="1"/>
    <col min="9698" max="9698" width="9.6640625" style="2" customWidth="1"/>
    <col min="9699" max="9699" width="11.88671875" style="2" customWidth="1"/>
    <col min="9700" max="9700" width="15.33203125" style="2" bestFit="1" customWidth="1"/>
    <col min="9701" max="9701" width="16.6640625" style="2" customWidth="1"/>
    <col min="9702" max="9949" width="8.88671875" style="2"/>
    <col min="9950" max="9950" width="0" style="2" hidden="1" customWidth="1"/>
    <col min="9951" max="9951" width="11.6640625" style="2" customWidth="1"/>
    <col min="9952" max="9952" width="15.6640625" style="2" customWidth="1"/>
    <col min="9953" max="9953" width="50.6640625" style="2" customWidth="1"/>
    <col min="9954" max="9954" width="9.6640625" style="2" customWidth="1"/>
    <col min="9955" max="9955" width="11.88671875" style="2" customWidth="1"/>
    <col min="9956" max="9956" width="15.33203125" style="2" bestFit="1" customWidth="1"/>
    <col min="9957" max="9957" width="16.6640625" style="2" customWidth="1"/>
    <col min="9958" max="10205" width="8.88671875" style="2"/>
    <col min="10206" max="10206" width="0" style="2" hidden="1" customWidth="1"/>
    <col min="10207" max="10207" width="11.6640625" style="2" customWidth="1"/>
    <col min="10208" max="10208" width="15.6640625" style="2" customWidth="1"/>
    <col min="10209" max="10209" width="50.6640625" style="2" customWidth="1"/>
    <col min="10210" max="10210" width="9.6640625" style="2" customWidth="1"/>
    <col min="10211" max="10211" width="11.88671875" style="2" customWidth="1"/>
    <col min="10212" max="10212" width="15.33203125" style="2" bestFit="1" customWidth="1"/>
    <col min="10213" max="10213" width="16.6640625" style="2" customWidth="1"/>
    <col min="10214" max="10461" width="8.88671875" style="2"/>
    <col min="10462" max="10462" width="0" style="2" hidden="1" customWidth="1"/>
    <col min="10463" max="10463" width="11.6640625" style="2" customWidth="1"/>
    <col min="10464" max="10464" width="15.6640625" style="2" customWidth="1"/>
    <col min="10465" max="10465" width="50.6640625" style="2" customWidth="1"/>
    <col min="10466" max="10466" width="9.6640625" style="2" customWidth="1"/>
    <col min="10467" max="10467" width="11.88671875" style="2" customWidth="1"/>
    <col min="10468" max="10468" width="15.33203125" style="2" bestFit="1" customWidth="1"/>
    <col min="10469" max="10469" width="16.6640625" style="2" customWidth="1"/>
    <col min="10470" max="10717" width="8.88671875" style="2"/>
    <col min="10718" max="10718" width="0" style="2" hidden="1" customWidth="1"/>
    <col min="10719" max="10719" width="11.6640625" style="2" customWidth="1"/>
    <col min="10720" max="10720" width="15.6640625" style="2" customWidth="1"/>
    <col min="10721" max="10721" width="50.6640625" style="2" customWidth="1"/>
    <col min="10722" max="10722" width="9.6640625" style="2" customWidth="1"/>
    <col min="10723" max="10723" width="11.88671875" style="2" customWidth="1"/>
    <col min="10724" max="10724" width="15.33203125" style="2" bestFit="1" customWidth="1"/>
    <col min="10725" max="10725" width="16.6640625" style="2" customWidth="1"/>
    <col min="10726" max="10973" width="8.88671875" style="2"/>
    <col min="10974" max="10974" width="0" style="2" hidden="1" customWidth="1"/>
    <col min="10975" max="10975" width="11.6640625" style="2" customWidth="1"/>
    <col min="10976" max="10976" width="15.6640625" style="2" customWidth="1"/>
    <col min="10977" max="10977" width="50.6640625" style="2" customWidth="1"/>
    <col min="10978" max="10978" width="9.6640625" style="2" customWidth="1"/>
    <col min="10979" max="10979" width="11.88671875" style="2" customWidth="1"/>
    <col min="10980" max="10980" width="15.33203125" style="2" bestFit="1" customWidth="1"/>
    <col min="10981" max="10981" width="16.6640625" style="2" customWidth="1"/>
    <col min="10982" max="11229" width="8.88671875" style="2"/>
    <col min="11230" max="11230" width="0" style="2" hidden="1" customWidth="1"/>
    <col min="11231" max="11231" width="11.6640625" style="2" customWidth="1"/>
    <col min="11232" max="11232" width="15.6640625" style="2" customWidth="1"/>
    <col min="11233" max="11233" width="50.6640625" style="2" customWidth="1"/>
    <col min="11234" max="11234" width="9.6640625" style="2" customWidth="1"/>
    <col min="11235" max="11235" width="11.88671875" style="2" customWidth="1"/>
    <col min="11236" max="11236" width="15.33203125" style="2" bestFit="1" customWidth="1"/>
    <col min="11237" max="11237" width="16.6640625" style="2" customWidth="1"/>
    <col min="11238" max="11485" width="8.88671875" style="2"/>
    <col min="11486" max="11486" width="0" style="2" hidden="1" customWidth="1"/>
    <col min="11487" max="11487" width="11.6640625" style="2" customWidth="1"/>
    <col min="11488" max="11488" width="15.6640625" style="2" customWidth="1"/>
    <col min="11489" max="11489" width="50.6640625" style="2" customWidth="1"/>
    <col min="11490" max="11490" width="9.6640625" style="2" customWidth="1"/>
    <col min="11491" max="11491" width="11.88671875" style="2" customWidth="1"/>
    <col min="11492" max="11492" width="15.33203125" style="2" bestFit="1" customWidth="1"/>
    <col min="11493" max="11493" width="16.6640625" style="2" customWidth="1"/>
    <col min="11494" max="11741" width="8.88671875" style="2"/>
    <col min="11742" max="11742" width="0" style="2" hidden="1" customWidth="1"/>
    <col min="11743" max="11743" width="11.6640625" style="2" customWidth="1"/>
    <col min="11744" max="11744" width="15.6640625" style="2" customWidth="1"/>
    <col min="11745" max="11745" width="50.6640625" style="2" customWidth="1"/>
    <col min="11746" max="11746" width="9.6640625" style="2" customWidth="1"/>
    <col min="11747" max="11747" width="11.88671875" style="2" customWidth="1"/>
    <col min="11748" max="11748" width="15.33203125" style="2" bestFit="1" customWidth="1"/>
    <col min="11749" max="11749" width="16.6640625" style="2" customWidth="1"/>
    <col min="11750" max="11997" width="8.88671875" style="2"/>
    <col min="11998" max="11998" width="0" style="2" hidden="1" customWidth="1"/>
    <col min="11999" max="11999" width="11.6640625" style="2" customWidth="1"/>
    <col min="12000" max="12000" width="15.6640625" style="2" customWidth="1"/>
    <col min="12001" max="12001" width="50.6640625" style="2" customWidth="1"/>
    <col min="12002" max="12002" width="9.6640625" style="2" customWidth="1"/>
    <col min="12003" max="12003" width="11.88671875" style="2" customWidth="1"/>
    <col min="12004" max="12004" width="15.33203125" style="2" bestFit="1" customWidth="1"/>
    <col min="12005" max="12005" width="16.6640625" style="2" customWidth="1"/>
    <col min="12006" max="12253" width="8.88671875" style="2"/>
    <col min="12254" max="12254" width="0" style="2" hidden="1" customWidth="1"/>
    <col min="12255" max="12255" width="11.6640625" style="2" customWidth="1"/>
    <col min="12256" max="12256" width="15.6640625" style="2" customWidth="1"/>
    <col min="12257" max="12257" width="50.6640625" style="2" customWidth="1"/>
    <col min="12258" max="12258" width="9.6640625" style="2" customWidth="1"/>
    <col min="12259" max="12259" width="11.88671875" style="2" customWidth="1"/>
    <col min="12260" max="12260" width="15.33203125" style="2" bestFit="1" customWidth="1"/>
    <col min="12261" max="12261" width="16.6640625" style="2" customWidth="1"/>
    <col min="12262" max="12509" width="8.88671875" style="2"/>
    <col min="12510" max="12510" width="0" style="2" hidden="1" customWidth="1"/>
    <col min="12511" max="12511" width="11.6640625" style="2" customWidth="1"/>
    <col min="12512" max="12512" width="15.6640625" style="2" customWidth="1"/>
    <col min="12513" max="12513" width="50.6640625" style="2" customWidth="1"/>
    <col min="12514" max="12514" width="9.6640625" style="2" customWidth="1"/>
    <col min="12515" max="12515" width="11.88671875" style="2" customWidth="1"/>
    <col min="12516" max="12516" width="15.33203125" style="2" bestFit="1" customWidth="1"/>
    <col min="12517" max="12517" width="16.6640625" style="2" customWidth="1"/>
    <col min="12518" max="12765" width="8.88671875" style="2"/>
    <col min="12766" max="12766" width="0" style="2" hidden="1" customWidth="1"/>
    <col min="12767" max="12767" width="11.6640625" style="2" customWidth="1"/>
    <col min="12768" max="12768" width="15.6640625" style="2" customWidth="1"/>
    <col min="12769" max="12769" width="50.6640625" style="2" customWidth="1"/>
    <col min="12770" max="12770" width="9.6640625" style="2" customWidth="1"/>
    <col min="12771" max="12771" width="11.88671875" style="2" customWidth="1"/>
    <col min="12772" max="12772" width="15.33203125" style="2" bestFit="1" customWidth="1"/>
    <col min="12773" max="12773" width="16.6640625" style="2" customWidth="1"/>
    <col min="12774" max="13021" width="8.88671875" style="2"/>
    <col min="13022" max="13022" width="0" style="2" hidden="1" customWidth="1"/>
    <col min="13023" max="13023" width="11.6640625" style="2" customWidth="1"/>
    <col min="13024" max="13024" width="15.6640625" style="2" customWidth="1"/>
    <col min="13025" max="13025" width="50.6640625" style="2" customWidth="1"/>
    <col min="13026" max="13026" width="9.6640625" style="2" customWidth="1"/>
    <col min="13027" max="13027" width="11.88671875" style="2" customWidth="1"/>
    <col min="13028" max="13028" width="15.33203125" style="2" bestFit="1" customWidth="1"/>
    <col min="13029" max="13029" width="16.6640625" style="2" customWidth="1"/>
    <col min="13030" max="13277" width="8.88671875" style="2"/>
    <col min="13278" max="13278" width="0" style="2" hidden="1" customWidth="1"/>
    <col min="13279" max="13279" width="11.6640625" style="2" customWidth="1"/>
    <col min="13280" max="13280" width="15.6640625" style="2" customWidth="1"/>
    <col min="13281" max="13281" width="50.6640625" style="2" customWidth="1"/>
    <col min="13282" max="13282" width="9.6640625" style="2" customWidth="1"/>
    <col min="13283" max="13283" width="11.88671875" style="2" customWidth="1"/>
    <col min="13284" max="13284" width="15.33203125" style="2" bestFit="1" customWidth="1"/>
    <col min="13285" max="13285" width="16.6640625" style="2" customWidth="1"/>
    <col min="13286" max="13533" width="8.88671875" style="2"/>
    <col min="13534" max="13534" width="0" style="2" hidden="1" customWidth="1"/>
    <col min="13535" max="13535" width="11.6640625" style="2" customWidth="1"/>
    <col min="13536" max="13536" width="15.6640625" style="2" customWidth="1"/>
    <col min="13537" max="13537" width="50.6640625" style="2" customWidth="1"/>
    <col min="13538" max="13538" width="9.6640625" style="2" customWidth="1"/>
    <col min="13539" max="13539" width="11.88671875" style="2" customWidth="1"/>
    <col min="13540" max="13540" width="15.33203125" style="2" bestFit="1" customWidth="1"/>
    <col min="13541" max="13541" width="16.6640625" style="2" customWidth="1"/>
    <col min="13542" max="13789" width="8.88671875" style="2"/>
    <col min="13790" max="13790" width="0" style="2" hidden="1" customWidth="1"/>
    <col min="13791" max="13791" width="11.6640625" style="2" customWidth="1"/>
    <col min="13792" max="13792" width="15.6640625" style="2" customWidth="1"/>
    <col min="13793" max="13793" width="50.6640625" style="2" customWidth="1"/>
    <col min="13794" max="13794" width="9.6640625" style="2" customWidth="1"/>
    <col min="13795" max="13795" width="11.88671875" style="2" customWidth="1"/>
    <col min="13796" max="13796" width="15.33203125" style="2" bestFit="1" customWidth="1"/>
    <col min="13797" max="13797" width="16.6640625" style="2" customWidth="1"/>
    <col min="13798" max="14045" width="8.88671875" style="2"/>
    <col min="14046" max="14046" width="0" style="2" hidden="1" customWidth="1"/>
    <col min="14047" max="14047" width="11.6640625" style="2" customWidth="1"/>
    <col min="14048" max="14048" width="15.6640625" style="2" customWidth="1"/>
    <col min="14049" max="14049" width="50.6640625" style="2" customWidth="1"/>
    <col min="14050" max="14050" width="9.6640625" style="2" customWidth="1"/>
    <col min="14051" max="14051" width="11.88671875" style="2" customWidth="1"/>
    <col min="14052" max="14052" width="15.33203125" style="2" bestFit="1" customWidth="1"/>
    <col min="14053" max="14053" width="16.6640625" style="2" customWidth="1"/>
    <col min="14054" max="14301" width="8.88671875" style="2"/>
    <col min="14302" max="14302" width="0" style="2" hidden="1" customWidth="1"/>
    <col min="14303" max="14303" width="11.6640625" style="2" customWidth="1"/>
    <col min="14304" max="14304" width="15.6640625" style="2" customWidth="1"/>
    <col min="14305" max="14305" width="50.6640625" style="2" customWidth="1"/>
    <col min="14306" max="14306" width="9.6640625" style="2" customWidth="1"/>
    <col min="14307" max="14307" width="11.88671875" style="2" customWidth="1"/>
    <col min="14308" max="14308" width="15.33203125" style="2" bestFit="1" customWidth="1"/>
    <col min="14309" max="14309" width="16.6640625" style="2" customWidth="1"/>
    <col min="14310" max="14557" width="8.88671875" style="2"/>
    <col min="14558" max="14558" width="0" style="2" hidden="1" customWidth="1"/>
    <col min="14559" max="14559" width="11.6640625" style="2" customWidth="1"/>
    <col min="14560" max="14560" width="15.6640625" style="2" customWidth="1"/>
    <col min="14561" max="14561" width="50.6640625" style="2" customWidth="1"/>
    <col min="14562" max="14562" width="9.6640625" style="2" customWidth="1"/>
    <col min="14563" max="14563" width="11.88671875" style="2" customWidth="1"/>
    <col min="14564" max="14564" width="15.33203125" style="2" bestFit="1" customWidth="1"/>
    <col min="14565" max="14565" width="16.6640625" style="2" customWidth="1"/>
    <col min="14566" max="14813" width="8.88671875" style="2"/>
    <col min="14814" max="14814" width="0" style="2" hidden="1" customWidth="1"/>
    <col min="14815" max="14815" width="11.6640625" style="2" customWidth="1"/>
    <col min="14816" max="14816" width="15.6640625" style="2" customWidth="1"/>
    <col min="14817" max="14817" width="50.6640625" style="2" customWidth="1"/>
    <col min="14818" max="14818" width="9.6640625" style="2" customWidth="1"/>
    <col min="14819" max="14819" width="11.88671875" style="2" customWidth="1"/>
    <col min="14820" max="14820" width="15.33203125" style="2" bestFit="1" customWidth="1"/>
    <col min="14821" max="14821" width="16.6640625" style="2" customWidth="1"/>
    <col min="14822" max="15069" width="8.88671875" style="2"/>
    <col min="15070" max="15070" width="0" style="2" hidden="1" customWidth="1"/>
    <col min="15071" max="15071" width="11.6640625" style="2" customWidth="1"/>
    <col min="15072" max="15072" width="15.6640625" style="2" customWidth="1"/>
    <col min="15073" max="15073" width="50.6640625" style="2" customWidth="1"/>
    <col min="15074" max="15074" width="9.6640625" style="2" customWidth="1"/>
    <col min="15075" max="15075" width="11.88671875" style="2" customWidth="1"/>
    <col min="15076" max="15076" width="15.33203125" style="2" bestFit="1" customWidth="1"/>
    <col min="15077" max="15077" width="16.6640625" style="2" customWidth="1"/>
    <col min="15078" max="15325" width="8.88671875" style="2"/>
    <col min="15326" max="15326" width="0" style="2" hidden="1" customWidth="1"/>
    <col min="15327" max="15327" width="11.6640625" style="2" customWidth="1"/>
    <col min="15328" max="15328" width="15.6640625" style="2" customWidth="1"/>
    <col min="15329" max="15329" width="50.6640625" style="2" customWidth="1"/>
    <col min="15330" max="15330" width="9.6640625" style="2" customWidth="1"/>
    <col min="15331" max="15331" width="11.88671875" style="2" customWidth="1"/>
    <col min="15332" max="15332" width="15.33203125" style="2" bestFit="1" customWidth="1"/>
    <col min="15333" max="15333" width="16.6640625" style="2" customWidth="1"/>
    <col min="15334" max="15581" width="8.88671875" style="2"/>
    <col min="15582" max="15582" width="0" style="2" hidden="1" customWidth="1"/>
    <col min="15583" max="15583" width="11.6640625" style="2" customWidth="1"/>
    <col min="15584" max="15584" width="15.6640625" style="2" customWidth="1"/>
    <col min="15585" max="15585" width="50.6640625" style="2" customWidth="1"/>
    <col min="15586" max="15586" width="9.6640625" style="2" customWidth="1"/>
    <col min="15587" max="15587" width="11.88671875" style="2" customWidth="1"/>
    <col min="15588" max="15588" width="15.33203125" style="2" bestFit="1" customWidth="1"/>
    <col min="15589" max="15589" width="16.6640625" style="2" customWidth="1"/>
    <col min="15590" max="15837" width="8.88671875" style="2"/>
    <col min="15838" max="15838" width="0" style="2" hidden="1" customWidth="1"/>
    <col min="15839" max="15839" width="11.6640625" style="2" customWidth="1"/>
    <col min="15840" max="15840" width="15.6640625" style="2" customWidth="1"/>
    <col min="15841" max="15841" width="50.6640625" style="2" customWidth="1"/>
    <col min="15842" max="15842" width="9.6640625" style="2" customWidth="1"/>
    <col min="15843" max="15843" width="11.88671875" style="2" customWidth="1"/>
    <col min="15844" max="15844" width="15.33203125" style="2" bestFit="1" customWidth="1"/>
    <col min="15845" max="15845" width="16.6640625" style="2" customWidth="1"/>
    <col min="15846" max="16093" width="8.88671875" style="2"/>
    <col min="16094" max="16094" width="0" style="2" hidden="1" customWidth="1"/>
    <col min="16095" max="16095" width="11.6640625" style="2" customWidth="1"/>
    <col min="16096" max="16096" width="15.6640625" style="2" customWidth="1"/>
    <col min="16097" max="16097" width="50.6640625" style="2" customWidth="1"/>
    <col min="16098" max="16098" width="9.6640625" style="2" customWidth="1"/>
    <col min="16099" max="16099" width="11.88671875" style="2" customWidth="1"/>
    <col min="16100" max="16100" width="15.33203125" style="2" bestFit="1" customWidth="1"/>
    <col min="16101" max="16101" width="16.6640625" style="2" customWidth="1"/>
    <col min="16102" max="16384" width="8.88671875" style="2"/>
  </cols>
  <sheetData>
    <row r="1" spans="1:8">
      <c r="A1" s="130" t="s">
        <v>971</v>
      </c>
      <c r="B1" s="68"/>
      <c r="C1" s="2"/>
      <c r="F1" s="12"/>
    </row>
    <row r="2" spans="1:8">
      <c r="A2" s="130" t="s">
        <v>1783</v>
      </c>
      <c r="B2" s="69"/>
      <c r="C2" s="3"/>
      <c r="D2" s="1"/>
      <c r="E2" s="1"/>
      <c r="F2" s="12"/>
    </row>
    <row r="3" spans="1:8">
      <c r="A3" s="130" t="s">
        <v>1784</v>
      </c>
      <c r="B3" s="68"/>
      <c r="C3" s="2"/>
      <c r="F3" s="12"/>
    </row>
    <row r="4" spans="1:8">
      <c r="A4" s="130"/>
      <c r="B4" s="68"/>
      <c r="C4" s="2"/>
      <c r="F4" s="12"/>
    </row>
    <row r="5" spans="1:8">
      <c r="A5" s="130" t="s">
        <v>159</v>
      </c>
      <c r="B5" s="68"/>
      <c r="C5" s="2"/>
      <c r="F5" s="12"/>
    </row>
    <row r="6" spans="1:8" ht="14.4" thickBot="1">
      <c r="A6" s="1"/>
      <c r="B6" s="68"/>
      <c r="C6" s="2"/>
      <c r="F6" s="12"/>
    </row>
    <row r="7" spans="1:8">
      <c r="A7" s="2142" t="s">
        <v>111</v>
      </c>
      <c r="B7" s="2142" t="s">
        <v>112</v>
      </c>
      <c r="C7" s="2139" t="s">
        <v>2</v>
      </c>
      <c r="D7" s="910" t="s">
        <v>882</v>
      </c>
      <c r="E7" s="930" t="s">
        <v>3</v>
      </c>
      <c r="F7" s="930" t="s">
        <v>564</v>
      </c>
      <c r="G7" s="959" t="s">
        <v>5</v>
      </c>
      <c r="H7" s="959" t="s">
        <v>565</v>
      </c>
    </row>
    <row r="8" spans="1:8" ht="14.4" thickBot="1">
      <c r="A8" s="2143"/>
      <c r="B8" s="2143"/>
      <c r="C8" s="2140"/>
      <c r="D8" s="911" t="s">
        <v>883</v>
      </c>
      <c r="E8" s="931"/>
      <c r="F8" s="932"/>
      <c r="G8" s="960"/>
      <c r="H8" s="960" t="s">
        <v>6</v>
      </c>
    </row>
    <row r="9" spans="1:8">
      <c r="A9" s="910"/>
      <c r="B9" s="910"/>
      <c r="C9" s="917"/>
      <c r="D9" s="910"/>
      <c r="E9" s="57"/>
      <c r="F9" s="61"/>
      <c r="G9" s="1020"/>
      <c r="H9" s="1008"/>
    </row>
    <row r="10" spans="1:8">
      <c r="A10" s="4" t="s">
        <v>9</v>
      </c>
      <c r="B10" s="4" t="s">
        <v>10</v>
      </c>
      <c r="C10" s="36" t="s">
        <v>11</v>
      </c>
      <c r="D10" s="4"/>
      <c r="E10" s="7"/>
      <c r="F10" s="6"/>
      <c r="G10" s="1010"/>
      <c r="H10" s="1009"/>
    </row>
    <row r="11" spans="1:8">
      <c r="A11" s="7" t="s">
        <v>9</v>
      </c>
      <c r="B11" s="71"/>
      <c r="C11" s="5" t="s">
        <v>9</v>
      </c>
      <c r="D11" s="7"/>
      <c r="E11" s="7" t="s">
        <v>9</v>
      </c>
      <c r="F11" s="6"/>
      <c r="G11" s="1010"/>
      <c r="H11" s="1009"/>
    </row>
    <row r="12" spans="1:8">
      <c r="A12" s="4" t="s">
        <v>886</v>
      </c>
      <c r="B12" s="4" t="s">
        <v>907</v>
      </c>
      <c r="C12" s="36" t="s">
        <v>12</v>
      </c>
      <c r="D12" s="4"/>
      <c r="E12" s="7"/>
      <c r="F12" s="6"/>
      <c r="G12" s="1010"/>
      <c r="H12" s="1009"/>
    </row>
    <row r="13" spans="1:8">
      <c r="A13" s="4"/>
      <c r="B13" s="4"/>
      <c r="C13" s="918"/>
      <c r="D13" s="9"/>
      <c r="E13" s="7"/>
      <c r="F13" s="87"/>
      <c r="G13" s="1010"/>
      <c r="H13" s="1009"/>
    </row>
    <row r="14" spans="1:8">
      <c r="A14" s="7" t="s">
        <v>166</v>
      </c>
      <c r="B14" s="7" t="s">
        <v>13</v>
      </c>
      <c r="C14" s="919" t="s">
        <v>14</v>
      </c>
      <c r="D14" s="933"/>
      <c r="E14" s="47" t="s">
        <v>142</v>
      </c>
      <c r="F14" s="87">
        <v>1</v>
      </c>
      <c r="G14" s="1010"/>
      <c r="H14" s="1010"/>
    </row>
    <row r="15" spans="1:8">
      <c r="A15" s="4"/>
      <c r="B15" s="4"/>
      <c r="C15" s="5" t="s">
        <v>9</v>
      </c>
      <c r="D15" s="7"/>
      <c r="E15" s="7"/>
      <c r="F15" s="87"/>
      <c r="G15" s="1010"/>
      <c r="H15" s="1010"/>
    </row>
    <row r="16" spans="1:8">
      <c r="A16" s="7"/>
      <c r="B16" s="7" t="s">
        <v>16</v>
      </c>
      <c r="C16" s="919" t="s">
        <v>17</v>
      </c>
      <c r="D16" s="933"/>
      <c r="E16" s="7"/>
      <c r="F16" s="87"/>
      <c r="G16" s="1010"/>
      <c r="H16" s="1010"/>
    </row>
    <row r="17" spans="1:8">
      <c r="A17" s="7"/>
      <c r="B17" s="7"/>
      <c r="C17" s="5"/>
      <c r="D17" s="7"/>
      <c r="E17" s="7"/>
      <c r="F17" s="87"/>
      <c r="G17" s="1010"/>
      <c r="H17" s="1010"/>
    </row>
    <row r="18" spans="1:8">
      <c r="A18" s="7" t="s">
        <v>167</v>
      </c>
      <c r="B18" s="7" t="s">
        <v>18</v>
      </c>
      <c r="C18" s="5" t="s">
        <v>19</v>
      </c>
      <c r="D18" s="7"/>
      <c r="E18" s="7"/>
      <c r="F18" s="87"/>
      <c r="G18" s="1010"/>
      <c r="H18" s="1010"/>
    </row>
    <row r="19" spans="1:8">
      <c r="A19" s="7"/>
      <c r="B19" s="71"/>
      <c r="C19" s="5"/>
      <c r="D19" s="7"/>
      <c r="E19" s="7"/>
      <c r="F19" s="87"/>
      <c r="G19" s="1010"/>
      <c r="H19" s="1010"/>
    </row>
    <row r="20" spans="1:8">
      <c r="A20" s="7" t="s">
        <v>168</v>
      </c>
      <c r="B20" s="7" t="s">
        <v>20</v>
      </c>
      <c r="C20" s="5" t="s">
        <v>21</v>
      </c>
      <c r="D20" s="7"/>
      <c r="E20" s="47" t="s">
        <v>142</v>
      </c>
      <c r="F20" s="87">
        <v>1</v>
      </c>
      <c r="G20" s="1010"/>
      <c r="H20" s="1010"/>
    </row>
    <row r="21" spans="1:8">
      <c r="A21" s="7"/>
      <c r="B21" s="71"/>
      <c r="C21" s="5"/>
      <c r="D21" s="7"/>
      <c r="E21" s="7"/>
      <c r="F21" s="87"/>
      <c r="G21" s="1010"/>
      <c r="H21" s="1010"/>
    </row>
    <row r="22" spans="1:8">
      <c r="A22" s="7" t="s">
        <v>174</v>
      </c>
      <c r="B22" s="71"/>
      <c r="C22" s="5" t="s">
        <v>160</v>
      </c>
      <c r="D22" s="7"/>
      <c r="E22" s="47" t="s">
        <v>142</v>
      </c>
      <c r="F22" s="87">
        <v>1</v>
      </c>
      <c r="G22" s="1010"/>
      <c r="H22" s="1010"/>
    </row>
    <row r="23" spans="1:8">
      <c r="A23" s="7"/>
      <c r="B23" s="71"/>
      <c r="C23" s="5"/>
      <c r="D23" s="7"/>
      <c r="E23" s="7"/>
      <c r="F23" s="87"/>
      <c r="G23" s="1010"/>
      <c r="H23" s="1010"/>
    </row>
    <row r="24" spans="1:8">
      <c r="A24" s="7" t="s">
        <v>175</v>
      </c>
      <c r="B24" s="7" t="s">
        <v>22</v>
      </c>
      <c r="C24" s="5" t="s">
        <v>23</v>
      </c>
      <c r="D24" s="7"/>
      <c r="E24" s="7"/>
      <c r="F24" s="87"/>
      <c r="G24" s="1010"/>
      <c r="H24" s="1010"/>
    </row>
    <row r="25" spans="1:8">
      <c r="A25" s="7"/>
      <c r="B25" s="71"/>
      <c r="C25" s="36" t="s">
        <v>9</v>
      </c>
      <c r="D25" s="4"/>
      <c r="E25" s="7"/>
      <c r="F25" s="87"/>
      <c r="G25" s="1010"/>
      <c r="H25" s="1010"/>
    </row>
    <row r="26" spans="1:8">
      <c r="A26" s="7" t="s">
        <v>176</v>
      </c>
      <c r="B26" s="71"/>
      <c r="C26" s="5" t="s">
        <v>24</v>
      </c>
      <c r="D26" s="7"/>
      <c r="E26" s="47" t="s">
        <v>142</v>
      </c>
      <c r="F26" s="87">
        <v>1</v>
      </c>
      <c r="G26" s="1010"/>
      <c r="H26" s="1010"/>
    </row>
    <row r="27" spans="1:8">
      <c r="A27" s="7"/>
      <c r="B27" s="71"/>
      <c r="C27" s="5" t="s">
        <v>9</v>
      </c>
      <c r="D27" s="7"/>
      <c r="E27" s="7"/>
      <c r="F27" s="87"/>
      <c r="G27" s="1010"/>
      <c r="H27" s="1010"/>
    </row>
    <row r="28" spans="1:8">
      <c r="A28" s="7" t="s">
        <v>177</v>
      </c>
      <c r="B28" s="71"/>
      <c r="C28" s="5" t="s">
        <v>25</v>
      </c>
      <c r="D28" s="7"/>
      <c r="E28" s="47" t="s">
        <v>142</v>
      </c>
      <c r="F28" s="87">
        <v>1</v>
      </c>
      <c r="G28" s="1010"/>
      <c r="H28" s="1010"/>
    </row>
    <row r="29" spans="1:8">
      <c r="A29" s="7"/>
      <c r="B29" s="71"/>
      <c r="C29" s="5" t="s">
        <v>9</v>
      </c>
      <c r="D29" s="7"/>
      <c r="E29" s="7"/>
      <c r="F29" s="87"/>
      <c r="G29" s="1010"/>
      <c r="H29" s="1010"/>
    </row>
    <row r="30" spans="1:8">
      <c r="A30" s="7" t="s">
        <v>178</v>
      </c>
      <c r="B30" s="71"/>
      <c r="C30" s="5" t="s">
        <v>26</v>
      </c>
      <c r="D30" s="7"/>
      <c r="E30" s="47" t="s">
        <v>142</v>
      </c>
      <c r="F30" s="87">
        <v>1</v>
      </c>
      <c r="G30" s="1010"/>
      <c r="H30" s="1010"/>
    </row>
    <row r="31" spans="1:8">
      <c r="A31" s="7"/>
      <c r="B31" s="71"/>
      <c r="C31" s="5" t="s">
        <v>9</v>
      </c>
      <c r="D31" s="7"/>
      <c r="E31" s="7"/>
      <c r="F31" s="87"/>
      <c r="G31" s="1010"/>
      <c r="H31" s="1010"/>
    </row>
    <row r="32" spans="1:8">
      <c r="A32" s="7" t="s">
        <v>179</v>
      </c>
      <c r="B32" s="71"/>
      <c r="C32" s="5" t="s">
        <v>27</v>
      </c>
      <c r="D32" s="7"/>
      <c r="E32" s="47" t="s">
        <v>142</v>
      </c>
      <c r="F32" s="87">
        <v>1</v>
      </c>
      <c r="G32" s="1010"/>
      <c r="H32" s="1010"/>
    </row>
    <row r="33" spans="1:16">
      <c r="A33" s="7"/>
      <c r="B33" s="71"/>
      <c r="C33" s="5" t="s">
        <v>9</v>
      </c>
      <c r="D33" s="7"/>
      <c r="E33" s="7"/>
      <c r="F33" s="87"/>
      <c r="G33" s="1010"/>
      <c r="H33" s="1010"/>
    </row>
    <row r="34" spans="1:16">
      <c r="A34" s="7" t="s">
        <v>180</v>
      </c>
      <c r="B34" s="71"/>
      <c r="C34" s="34" t="s">
        <v>28</v>
      </c>
      <c r="D34" s="40"/>
      <c r="E34" s="47" t="s">
        <v>142</v>
      </c>
      <c r="F34" s="87">
        <v>1</v>
      </c>
      <c r="G34" s="1010"/>
      <c r="H34" s="1010"/>
    </row>
    <row r="35" spans="1:16" ht="12" customHeight="1">
      <c r="A35" s="7"/>
      <c r="B35" s="71"/>
      <c r="C35" s="5"/>
      <c r="D35" s="7"/>
      <c r="E35" s="7"/>
      <c r="F35" s="87"/>
      <c r="G35" s="1010"/>
      <c r="H35" s="1010"/>
    </row>
    <row r="36" spans="1:16">
      <c r="A36" s="7" t="s">
        <v>181</v>
      </c>
      <c r="B36" s="71"/>
      <c r="C36" s="34" t="s">
        <v>29</v>
      </c>
      <c r="D36" s="40"/>
      <c r="E36" s="47" t="s">
        <v>142</v>
      </c>
      <c r="F36" s="87">
        <v>1</v>
      </c>
      <c r="G36" s="1010"/>
      <c r="H36" s="1010"/>
    </row>
    <row r="37" spans="1:16" ht="12" customHeight="1">
      <c r="A37" s="7"/>
      <c r="B37" s="71"/>
      <c r="C37" s="5"/>
      <c r="D37" s="7"/>
      <c r="E37" s="7"/>
      <c r="F37" s="87"/>
      <c r="G37" s="1010"/>
      <c r="H37" s="1010"/>
    </row>
    <row r="38" spans="1:16">
      <c r="A38" s="8" t="s">
        <v>182</v>
      </c>
      <c r="B38" s="7" t="s">
        <v>30</v>
      </c>
      <c r="C38" s="5" t="s">
        <v>974</v>
      </c>
      <c r="D38" s="7"/>
      <c r="E38" s="47" t="s">
        <v>142</v>
      </c>
      <c r="F38" s="87">
        <v>1</v>
      </c>
      <c r="G38" s="1010"/>
      <c r="H38" s="1010"/>
    </row>
    <row r="39" spans="1:16">
      <c r="A39" s="8"/>
      <c r="B39" s="7"/>
      <c r="C39" s="947" t="s">
        <v>975</v>
      </c>
      <c r="D39" s="948"/>
      <c r="E39" s="948"/>
      <c r="F39" s="948"/>
      <c r="G39" s="1011"/>
      <c r="H39" s="1011"/>
    </row>
    <row r="40" spans="1:16">
      <c r="A40" s="8"/>
      <c r="B40" s="7"/>
      <c r="C40" s="5"/>
      <c r="D40" s="7"/>
      <c r="E40" s="47"/>
      <c r="F40" s="87"/>
      <c r="G40" s="1010"/>
      <c r="H40" s="1010"/>
    </row>
    <row r="41" spans="1:16">
      <c r="A41" s="8" t="s">
        <v>183</v>
      </c>
      <c r="B41" s="7" t="s">
        <v>976</v>
      </c>
      <c r="C41" s="5" t="s">
        <v>977</v>
      </c>
      <c r="D41" s="7"/>
      <c r="E41" s="47" t="s">
        <v>142</v>
      </c>
      <c r="F41" s="87">
        <v>1</v>
      </c>
      <c r="G41" s="1010"/>
      <c r="H41" s="1010"/>
      <c r="I41" s="2144"/>
      <c r="J41" s="2144"/>
      <c r="K41" s="2144"/>
      <c r="L41" s="2144"/>
      <c r="M41" s="2144"/>
      <c r="N41" s="2144"/>
      <c r="O41" s="2144"/>
      <c r="P41" s="2144"/>
    </row>
    <row r="42" spans="1:16">
      <c r="A42" s="8"/>
      <c r="B42" s="7"/>
      <c r="C42" s="5"/>
      <c r="D42" s="7"/>
      <c r="E42" s="47"/>
      <c r="F42" s="87"/>
      <c r="G42" s="1010"/>
      <c r="H42" s="1010"/>
    </row>
    <row r="43" spans="1:16" ht="41.4">
      <c r="A43" s="8" t="s">
        <v>1084</v>
      </c>
      <c r="B43" s="7" t="s">
        <v>978</v>
      </c>
      <c r="C43" s="949" t="s">
        <v>979</v>
      </c>
      <c r="D43" s="7"/>
      <c r="E43" s="47" t="s">
        <v>142</v>
      </c>
      <c r="F43" s="87">
        <v>1</v>
      </c>
      <c r="G43" s="1010"/>
      <c r="H43" s="1010"/>
    </row>
    <row r="44" spans="1:16">
      <c r="A44" s="7"/>
      <c r="B44" s="7"/>
      <c r="C44" s="36"/>
      <c r="D44" s="4"/>
      <c r="E44" s="7"/>
      <c r="F44" s="87"/>
      <c r="G44" s="1010"/>
      <c r="H44" s="1010"/>
    </row>
    <row r="45" spans="1:16">
      <c r="A45" s="8" t="s">
        <v>1085</v>
      </c>
      <c r="B45" s="7" t="s">
        <v>31</v>
      </c>
      <c r="C45" s="5" t="s">
        <v>32</v>
      </c>
      <c r="D45" s="7"/>
      <c r="E45" s="47" t="s">
        <v>142</v>
      </c>
      <c r="F45" s="87">
        <v>1</v>
      </c>
      <c r="G45" s="1010"/>
      <c r="H45" s="1010"/>
    </row>
    <row r="46" spans="1:16" ht="12" customHeight="1">
      <c r="A46" s="7"/>
      <c r="B46" s="7"/>
      <c r="C46" s="5"/>
      <c r="D46" s="7"/>
      <c r="E46" s="7"/>
      <c r="F46" s="87"/>
      <c r="G46" s="1010"/>
      <c r="H46" s="1010"/>
    </row>
    <row r="47" spans="1:16">
      <c r="A47" s="4" t="s">
        <v>887</v>
      </c>
      <c r="B47" s="4" t="s">
        <v>908</v>
      </c>
      <c r="C47" s="36" t="s">
        <v>33</v>
      </c>
      <c r="D47" s="4"/>
      <c r="E47" s="7"/>
      <c r="F47" s="87"/>
      <c r="G47" s="1010"/>
      <c r="H47" s="1010"/>
    </row>
    <row r="48" spans="1:16">
      <c r="A48" s="4"/>
      <c r="B48" s="70"/>
      <c r="C48" s="36"/>
      <c r="D48" s="4"/>
      <c r="E48" s="7"/>
      <c r="F48" s="87"/>
      <c r="G48" s="1010"/>
      <c r="H48" s="1010"/>
    </row>
    <row r="49" spans="1:8">
      <c r="A49" s="7" t="s">
        <v>172</v>
      </c>
      <c r="B49" s="7" t="s">
        <v>34</v>
      </c>
      <c r="C49" s="919" t="s">
        <v>14</v>
      </c>
      <c r="D49" s="933"/>
      <c r="E49" s="7" t="s">
        <v>35</v>
      </c>
      <c r="F49" s="87">
        <v>12</v>
      </c>
      <c r="G49" s="1010"/>
      <c r="H49" s="1010"/>
    </row>
    <row r="50" spans="1:8">
      <c r="A50" s="7"/>
      <c r="B50" s="7"/>
      <c r="C50" s="5"/>
      <c r="D50" s="7"/>
      <c r="E50" s="7"/>
      <c r="F50" s="87"/>
      <c r="G50" s="1010"/>
      <c r="H50" s="1010"/>
    </row>
    <row r="51" spans="1:8">
      <c r="A51" s="7" t="s">
        <v>173</v>
      </c>
      <c r="B51" s="7" t="s">
        <v>36</v>
      </c>
      <c r="C51" s="919" t="s">
        <v>37</v>
      </c>
      <c r="D51" s="933"/>
      <c r="E51" s="7" t="s">
        <v>35</v>
      </c>
      <c r="F51" s="87">
        <v>12</v>
      </c>
      <c r="G51" s="1010"/>
      <c r="H51" s="1010"/>
    </row>
    <row r="52" spans="1:8">
      <c r="A52" s="9"/>
      <c r="B52" s="9"/>
      <c r="C52" s="919" t="s">
        <v>38</v>
      </c>
      <c r="D52" s="933"/>
      <c r="E52" s="7"/>
      <c r="F52" s="87"/>
      <c r="G52" s="1010"/>
      <c r="H52" s="1010"/>
    </row>
    <row r="53" spans="1:8">
      <c r="A53" s="9"/>
      <c r="B53" s="9"/>
      <c r="C53" s="919" t="s">
        <v>39</v>
      </c>
      <c r="D53" s="933"/>
      <c r="E53" s="7"/>
      <c r="F53" s="87"/>
      <c r="G53" s="1010"/>
      <c r="H53" s="1010"/>
    </row>
    <row r="54" spans="1:8">
      <c r="A54" s="9"/>
      <c r="B54" s="9"/>
      <c r="C54" s="918"/>
      <c r="D54" s="9"/>
      <c r="E54" s="7"/>
      <c r="F54" s="87"/>
      <c r="G54" s="1010"/>
      <c r="H54" s="1010"/>
    </row>
    <row r="55" spans="1:8">
      <c r="A55" s="7" t="s">
        <v>185</v>
      </c>
      <c r="B55" s="7" t="s">
        <v>40</v>
      </c>
      <c r="C55" s="5" t="s">
        <v>19</v>
      </c>
      <c r="D55" s="7"/>
      <c r="E55" s="7"/>
      <c r="F55" s="87"/>
      <c r="G55" s="1010"/>
      <c r="H55" s="1010"/>
    </row>
    <row r="56" spans="1:8">
      <c r="A56" s="9"/>
      <c r="B56" s="72"/>
      <c r="C56" s="5"/>
      <c r="D56" s="7"/>
      <c r="E56" s="7"/>
      <c r="F56" s="87"/>
      <c r="G56" s="1010"/>
      <c r="H56" s="1010"/>
    </row>
    <row r="57" spans="1:8">
      <c r="A57" s="7" t="s">
        <v>184</v>
      </c>
      <c r="B57" s="7" t="s">
        <v>20</v>
      </c>
      <c r="C57" s="5" t="s">
        <v>21</v>
      </c>
      <c r="D57" s="7"/>
      <c r="E57" s="7" t="s">
        <v>35</v>
      </c>
      <c r="F57" s="87">
        <v>12</v>
      </c>
      <c r="G57" s="1010"/>
      <c r="H57" s="1010"/>
    </row>
    <row r="58" spans="1:8" s="925" customFormat="1">
      <c r="A58" s="7"/>
      <c r="B58" s="13"/>
      <c r="C58" s="5"/>
      <c r="D58" s="7"/>
      <c r="E58" s="76"/>
      <c r="F58" s="76"/>
      <c r="G58" s="1021"/>
      <c r="H58" s="1010"/>
    </row>
    <row r="59" spans="1:8" s="925" customFormat="1" ht="27.6">
      <c r="A59" s="7" t="s">
        <v>888</v>
      </c>
      <c r="B59" s="13"/>
      <c r="C59" s="34" t="s">
        <v>870</v>
      </c>
      <c r="D59" s="40"/>
      <c r="E59" s="76" t="s">
        <v>871</v>
      </c>
      <c r="F59" s="76">
        <v>1</v>
      </c>
      <c r="G59" s="1021">
        <f>10000*12</f>
        <v>120000</v>
      </c>
      <c r="H59" s="1010">
        <f>G59*F59</f>
        <v>120000</v>
      </c>
    </row>
    <row r="60" spans="1:8" s="925" customFormat="1">
      <c r="A60" s="7"/>
      <c r="B60" s="13"/>
      <c r="C60" s="5"/>
      <c r="D60" s="7"/>
      <c r="E60" s="76"/>
      <c r="F60" s="91"/>
      <c r="G60" s="1022"/>
      <c r="H60" s="1010"/>
    </row>
    <row r="61" spans="1:8" s="925" customFormat="1">
      <c r="A61" s="7" t="s">
        <v>889</v>
      </c>
      <c r="B61" s="13"/>
      <c r="C61" s="34" t="s">
        <v>872</v>
      </c>
      <c r="D61" s="40"/>
      <c r="E61" s="76" t="s">
        <v>55</v>
      </c>
      <c r="F61" s="1006">
        <f>SUM(H59)</f>
        <v>120000</v>
      </c>
      <c r="G61" s="1033"/>
      <c r="H61" s="1010"/>
    </row>
    <row r="62" spans="1:8">
      <c r="A62" s="7"/>
      <c r="B62" s="71"/>
      <c r="C62" s="5"/>
      <c r="D62" s="7"/>
      <c r="E62" s="7"/>
      <c r="F62" s="87"/>
      <c r="G62" s="1010"/>
      <c r="H62" s="1010"/>
    </row>
    <row r="63" spans="1:8">
      <c r="A63" s="7" t="s">
        <v>186</v>
      </c>
      <c r="B63" s="7" t="s">
        <v>41</v>
      </c>
      <c r="C63" s="5" t="s">
        <v>42</v>
      </c>
      <c r="D63" s="7"/>
      <c r="E63" s="7"/>
      <c r="F63" s="87"/>
      <c r="G63" s="1010"/>
      <c r="H63" s="1010"/>
    </row>
    <row r="64" spans="1:8">
      <c r="A64" s="7"/>
      <c r="B64" s="71"/>
      <c r="C64" s="5"/>
      <c r="D64" s="7"/>
      <c r="E64" s="7"/>
      <c r="F64" s="87"/>
      <c r="G64" s="1010"/>
      <c r="H64" s="1010"/>
    </row>
    <row r="65" spans="1:8">
      <c r="A65" s="7" t="s">
        <v>1086</v>
      </c>
      <c r="B65" s="71"/>
      <c r="C65" s="5" t="s">
        <v>24</v>
      </c>
      <c r="D65" s="7"/>
      <c r="E65" s="7" t="s">
        <v>35</v>
      </c>
      <c r="F65" s="87">
        <v>12</v>
      </c>
      <c r="G65" s="1010"/>
      <c r="H65" s="1010"/>
    </row>
    <row r="66" spans="1:8" ht="9.9" customHeight="1">
      <c r="A66" s="7"/>
      <c r="B66" s="71"/>
      <c r="C66" s="5" t="s">
        <v>9</v>
      </c>
      <c r="D66" s="7"/>
      <c r="E66" s="7"/>
      <c r="F66" s="87"/>
      <c r="G66" s="1010"/>
      <c r="H66" s="1010"/>
    </row>
    <row r="67" spans="1:8">
      <c r="A67" s="7" t="s">
        <v>1087</v>
      </c>
      <c r="B67" s="71"/>
      <c r="C67" s="5" t="s">
        <v>25</v>
      </c>
      <c r="D67" s="7"/>
      <c r="E67" s="7" t="s">
        <v>35</v>
      </c>
      <c r="F67" s="87">
        <f>+F65</f>
        <v>12</v>
      </c>
      <c r="G67" s="1010"/>
      <c r="H67" s="1010"/>
    </row>
    <row r="68" spans="1:8" ht="9.9" customHeight="1">
      <c r="A68" s="4"/>
      <c r="B68" s="70"/>
      <c r="C68" s="5" t="s">
        <v>9</v>
      </c>
      <c r="D68" s="7"/>
      <c r="E68" s="7"/>
      <c r="F68" s="87"/>
      <c r="G68" s="1010"/>
      <c r="H68" s="1010"/>
    </row>
    <row r="69" spans="1:8">
      <c r="A69" s="7" t="s">
        <v>1088</v>
      </c>
      <c r="B69" s="70"/>
      <c r="C69" s="5" t="s">
        <v>26</v>
      </c>
      <c r="D69" s="7"/>
      <c r="E69" s="7" t="s">
        <v>35</v>
      </c>
      <c r="F69" s="87">
        <f>+F65</f>
        <v>12</v>
      </c>
      <c r="G69" s="1010"/>
      <c r="H69" s="1010"/>
    </row>
    <row r="70" spans="1:8" ht="9.9" customHeight="1">
      <c r="A70" s="7"/>
      <c r="B70" s="71"/>
      <c r="C70" s="5" t="s">
        <v>9</v>
      </c>
      <c r="D70" s="7"/>
      <c r="E70" s="7"/>
      <c r="F70" s="87"/>
      <c r="G70" s="1010"/>
      <c r="H70" s="1010"/>
    </row>
    <row r="71" spans="1:8">
      <c r="A71" s="7" t="s">
        <v>1089</v>
      </c>
      <c r="B71" s="71"/>
      <c r="C71" s="5" t="s">
        <v>27</v>
      </c>
      <c r="D71" s="7"/>
      <c r="E71" s="7" t="s">
        <v>35</v>
      </c>
      <c r="F71" s="87">
        <f>+F65</f>
        <v>12</v>
      </c>
      <c r="G71" s="1010"/>
      <c r="H71" s="1010"/>
    </row>
    <row r="72" spans="1:8" ht="9.75" customHeight="1">
      <c r="A72" s="4"/>
      <c r="B72" s="70"/>
      <c r="C72" s="5" t="s">
        <v>9</v>
      </c>
      <c r="D72" s="7"/>
      <c r="E72" s="7"/>
      <c r="F72" s="87"/>
      <c r="G72" s="1010"/>
      <c r="H72" s="1010"/>
    </row>
    <row r="73" spans="1:8">
      <c r="A73" s="7" t="s">
        <v>1090</v>
      </c>
      <c r="B73" s="71"/>
      <c r="C73" s="34" t="s">
        <v>28</v>
      </c>
      <c r="D73" s="40"/>
      <c r="E73" s="7" t="s">
        <v>35</v>
      </c>
      <c r="F73" s="87">
        <f>+F65</f>
        <v>12</v>
      </c>
      <c r="G73" s="1010"/>
      <c r="H73" s="1010"/>
    </row>
    <row r="74" spans="1:8" ht="12" customHeight="1">
      <c r="A74" s="7"/>
      <c r="B74" s="71"/>
      <c r="C74" s="5"/>
      <c r="D74" s="7"/>
      <c r="E74" s="7"/>
      <c r="F74" s="87"/>
      <c r="G74" s="1010"/>
      <c r="H74" s="1010"/>
    </row>
    <row r="75" spans="1:8">
      <c r="A75" s="7" t="s">
        <v>1091</v>
      </c>
      <c r="B75" s="71"/>
      <c r="C75" s="34" t="s">
        <v>29</v>
      </c>
      <c r="D75" s="40"/>
      <c r="E75" s="7" t="s">
        <v>35</v>
      </c>
      <c r="F75" s="87">
        <f>+F65</f>
        <v>12</v>
      </c>
      <c r="G75" s="1010"/>
      <c r="H75" s="1010"/>
    </row>
    <row r="76" spans="1:8">
      <c r="A76" s="7"/>
      <c r="B76" s="71"/>
      <c r="C76" s="34"/>
      <c r="D76" s="40"/>
      <c r="E76" s="7"/>
      <c r="F76" s="87"/>
      <c r="G76" s="1010"/>
      <c r="H76" s="1010"/>
    </row>
    <row r="77" spans="1:8" ht="15" customHeight="1">
      <c r="A77" s="8" t="s">
        <v>187</v>
      </c>
      <c r="B77" s="7" t="s">
        <v>43</v>
      </c>
      <c r="C77" s="919" t="s">
        <v>973</v>
      </c>
      <c r="D77" s="933"/>
      <c r="E77" s="7" t="s">
        <v>35</v>
      </c>
      <c r="F77" s="87">
        <f>+F65</f>
        <v>12</v>
      </c>
      <c r="G77" s="1010"/>
      <c r="H77" s="1010"/>
    </row>
    <row r="78" spans="1:8" ht="15" customHeight="1">
      <c r="A78" s="7"/>
      <c r="B78" s="7"/>
      <c r="C78" s="5" t="s">
        <v>9</v>
      </c>
      <c r="D78" s="7"/>
      <c r="E78" s="7"/>
      <c r="F78" s="87"/>
      <c r="G78" s="1010"/>
      <c r="H78" s="1010"/>
    </row>
    <row r="79" spans="1:8" ht="15" customHeight="1">
      <c r="A79" s="8" t="s">
        <v>188</v>
      </c>
      <c r="B79" s="7" t="s">
        <v>44</v>
      </c>
      <c r="C79" s="919" t="s">
        <v>45</v>
      </c>
      <c r="D79" s="933"/>
      <c r="E79" s="7" t="s">
        <v>35</v>
      </c>
      <c r="F79" s="87">
        <f>+F65</f>
        <v>12</v>
      </c>
      <c r="G79" s="1010"/>
      <c r="H79" s="1010"/>
    </row>
    <row r="80" spans="1:8" ht="15" customHeight="1">
      <c r="A80" s="7"/>
      <c r="B80" s="7"/>
      <c r="C80" s="919" t="s">
        <v>46</v>
      </c>
      <c r="D80" s="933"/>
      <c r="E80" s="7"/>
      <c r="F80" s="87"/>
      <c r="G80" s="1010"/>
      <c r="H80" s="1010"/>
    </row>
    <row r="81" spans="1:8" ht="15" customHeight="1">
      <c r="A81" s="7"/>
      <c r="B81" s="7"/>
      <c r="C81" s="5"/>
      <c r="D81" s="7"/>
      <c r="E81" s="7"/>
      <c r="F81" s="87"/>
      <c r="G81" s="1010"/>
      <c r="H81" s="1010"/>
    </row>
    <row r="82" spans="1:8" ht="27.6">
      <c r="A82" s="7" t="s">
        <v>1092</v>
      </c>
      <c r="B82" s="7" t="s">
        <v>47</v>
      </c>
      <c r="C82" s="920" t="s">
        <v>879</v>
      </c>
      <c r="D82" s="934"/>
      <c r="E82" s="7" t="s">
        <v>35</v>
      </c>
      <c r="F82" s="87">
        <f>+F65</f>
        <v>12</v>
      </c>
      <c r="G82" s="1010"/>
      <c r="H82" s="1010"/>
    </row>
    <row r="83" spans="1:8" ht="15" customHeight="1" thickBot="1">
      <c r="A83" s="141"/>
      <c r="B83" s="146"/>
      <c r="C83" s="921"/>
      <c r="D83" s="935"/>
      <c r="E83" s="141"/>
      <c r="F83" s="180"/>
      <c r="G83" s="1023"/>
      <c r="H83" s="1012"/>
    </row>
    <row r="84" spans="1:8" ht="40.5" customHeight="1" thickBot="1">
      <c r="A84" s="2145" t="s">
        <v>48</v>
      </c>
      <c r="B84" s="2145"/>
      <c r="C84" s="2145"/>
      <c r="D84" s="2145"/>
      <c r="E84" s="2145"/>
      <c r="F84" s="189"/>
      <c r="G84" s="1024"/>
      <c r="H84" s="1013"/>
    </row>
    <row r="85" spans="1:8" ht="14.4" thickBot="1">
      <c r="A85" s="906"/>
      <c r="B85" s="73"/>
      <c r="C85" s="10"/>
      <c r="D85" s="906"/>
      <c r="E85" s="906"/>
      <c r="F85" s="11"/>
      <c r="G85" s="1025"/>
    </row>
    <row r="86" spans="1:8">
      <c r="A86" s="2142" t="s">
        <v>111</v>
      </c>
      <c r="B86" s="2142" t="s">
        <v>112</v>
      </c>
      <c r="C86" s="2139" t="s">
        <v>2</v>
      </c>
      <c r="D86" s="910" t="s">
        <v>882</v>
      </c>
      <c r="E86" s="930" t="s">
        <v>3</v>
      </c>
      <c r="F86" s="930" t="s">
        <v>564</v>
      </c>
      <c r="G86" s="959" t="s">
        <v>5</v>
      </c>
      <c r="H86" s="959" t="s">
        <v>565</v>
      </c>
    </row>
    <row r="87" spans="1:8" ht="14.4" thickBot="1">
      <c r="A87" s="2143"/>
      <c r="B87" s="2143"/>
      <c r="C87" s="2140"/>
      <c r="D87" s="911" t="s">
        <v>883</v>
      </c>
      <c r="E87" s="931"/>
      <c r="F87" s="932"/>
      <c r="G87" s="960"/>
      <c r="H87" s="960" t="s">
        <v>6</v>
      </c>
    </row>
    <row r="88" spans="1:8" ht="14.4" thickBot="1">
      <c r="A88" s="2137" t="s">
        <v>49</v>
      </c>
      <c r="B88" s="2138"/>
      <c r="C88" s="2138"/>
      <c r="D88" s="2138"/>
      <c r="E88" s="2138"/>
      <c r="F88" s="2138"/>
      <c r="G88" s="2141"/>
      <c r="H88" s="1013"/>
    </row>
    <row r="89" spans="1:8">
      <c r="A89" s="57"/>
      <c r="B89" s="74"/>
      <c r="C89" s="58"/>
      <c r="D89" s="936"/>
      <c r="E89" s="57"/>
      <c r="F89" s="61"/>
      <c r="G89" s="1020"/>
      <c r="H89" s="1008"/>
    </row>
    <row r="90" spans="1:8">
      <c r="A90" s="4" t="s">
        <v>890</v>
      </c>
      <c r="B90" s="4" t="s">
        <v>866</v>
      </c>
      <c r="C90" s="32" t="s">
        <v>865</v>
      </c>
      <c r="D90" s="937"/>
      <c r="E90" s="7"/>
      <c r="F90" s="6"/>
      <c r="G90" s="1010"/>
      <c r="H90" s="1009"/>
    </row>
    <row r="91" spans="1:8">
      <c r="A91" s="7"/>
      <c r="B91" s="71"/>
      <c r="C91" s="34"/>
      <c r="D91" s="40"/>
      <c r="E91" s="7"/>
      <c r="F91" s="6"/>
      <c r="G91" s="1010"/>
      <c r="H91" s="1009"/>
    </row>
    <row r="92" spans="1:8">
      <c r="A92" s="7" t="s">
        <v>189</v>
      </c>
      <c r="B92" s="7" t="s">
        <v>867</v>
      </c>
      <c r="C92" s="34" t="s">
        <v>868</v>
      </c>
      <c r="D92" s="40"/>
      <c r="E92" s="47" t="s">
        <v>15</v>
      </c>
      <c r="F92" s="200">
        <v>1</v>
      </c>
      <c r="G92" s="1026"/>
      <c r="H92" s="1014"/>
    </row>
    <row r="93" spans="1:8">
      <c r="A93" s="7"/>
      <c r="B93" s="71"/>
      <c r="C93" s="34"/>
      <c r="D93" s="40"/>
      <c r="E93" s="7"/>
      <c r="F93" s="6"/>
      <c r="G93" s="1010"/>
      <c r="H93" s="1009"/>
    </row>
    <row r="94" spans="1:8" ht="18.75" customHeight="1">
      <c r="A94" s="7" t="s">
        <v>190</v>
      </c>
      <c r="B94" s="7" t="s">
        <v>220</v>
      </c>
      <c r="C94" s="178" t="s">
        <v>208</v>
      </c>
      <c r="D94" s="139"/>
      <c r="E94" s="7" t="s">
        <v>205</v>
      </c>
      <c r="F94" s="200">
        <v>1</v>
      </c>
      <c r="G94" s="1021">
        <f>35000*12</f>
        <v>420000</v>
      </c>
      <c r="H94" s="1014">
        <f>G94*F94</f>
        <v>420000</v>
      </c>
    </row>
    <row r="95" spans="1:8" ht="15" customHeight="1">
      <c r="A95" s="7"/>
      <c r="B95" s="71"/>
      <c r="C95" s="907"/>
      <c r="D95" s="76"/>
      <c r="E95" s="76"/>
      <c r="F95" s="76"/>
      <c r="G95" s="1015"/>
      <c r="H95" s="1015"/>
    </row>
    <row r="96" spans="1:8" ht="18.75" customHeight="1">
      <c r="A96" s="7" t="s">
        <v>897</v>
      </c>
      <c r="B96" s="71"/>
      <c r="C96" s="178" t="s">
        <v>981</v>
      </c>
      <c r="D96" s="139"/>
      <c r="E96" s="76" t="s">
        <v>55</v>
      </c>
      <c r="F96" s="1006">
        <f>H94</f>
        <v>420000</v>
      </c>
      <c r="G96" s="1033"/>
      <c r="H96" s="1014"/>
    </row>
    <row r="97" spans="1:8" ht="15" customHeight="1">
      <c r="A97" s="7"/>
      <c r="B97" s="71"/>
      <c r="C97" s="907"/>
      <c r="D97" s="76"/>
      <c r="E97" s="76"/>
      <c r="F97" s="200"/>
      <c r="G97" s="1015"/>
      <c r="H97" s="1014"/>
    </row>
    <row r="98" spans="1:8" ht="29.25" customHeight="1">
      <c r="A98" s="7" t="s">
        <v>898</v>
      </c>
      <c r="B98" s="71"/>
      <c r="C98" s="178" t="s">
        <v>209</v>
      </c>
      <c r="D98" s="139"/>
      <c r="E98" s="7" t="s">
        <v>205</v>
      </c>
      <c r="F98" s="200">
        <v>1</v>
      </c>
      <c r="G98" s="1021">
        <f>35000*12</f>
        <v>420000</v>
      </c>
      <c r="H98" s="1014">
        <f>G98*F98</f>
        <v>420000</v>
      </c>
    </row>
    <row r="99" spans="1:8" ht="15" customHeight="1">
      <c r="A99" s="7"/>
      <c r="B99" s="71"/>
      <c r="C99" s="907"/>
      <c r="D99" s="76"/>
      <c r="E99" s="76"/>
      <c r="F99" s="76"/>
      <c r="G99" s="1015"/>
      <c r="H99" s="1015"/>
    </row>
    <row r="100" spans="1:8" ht="24" customHeight="1">
      <c r="A100" s="7" t="s">
        <v>899</v>
      </c>
      <c r="B100" s="71"/>
      <c r="C100" s="178" t="s">
        <v>981</v>
      </c>
      <c r="D100" s="139"/>
      <c r="E100" s="76" t="s">
        <v>55</v>
      </c>
      <c r="F100" s="1006">
        <f>H98</f>
        <v>420000</v>
      </c>
      <c r="G100" s="1033"/>
      <c r="H100" s="1014"/>
    </row>
    <row r="101" spans="1:8" ht="15" customHeight="1">
      <c r="A101" s="7"/>
      <c r="B101" s="71"/>
      <c r="C101" s="908"/>
      <c r="D101" s="80"/>
      <c r="E101" s="80"/>
      <c r="F101" s="200"/>
      <c r="G101" s="1028"/>
      <c r="H101" s="1014"/>
    </row>
    <row r="102" spans="1:8" ht="29.25" customHeight="1">
      <c r="A102" s="7" t="s">
        <v>900</v>
      </c>
      <c r="B102" s="71"/>
      <c r="C102" s="178" t="s">
        <v>210</v>
      </c>
      <c r="D102" s="139"/>
      <c r="E102" s="7" t="s">
        <v>205</v>
      </c>
      <c r="F102" s="200">
        <v>1</v>
      </c>
      <c r="G102" s="1021">
        <f>35000*12</f>
        <v>420000</v>
      </c>
      <c r="H102" s="1014">
        <f>G102*F102</f>
        <v>420000</v>
      </c>
    </row>
    <row r="103" spans="1:8">
      <c r="A103" s="7"/>
      <c r="B103" s="71"/>
      <c r="C103" s="907"/>
      <c r="D103" s="76"/>
      <c r="E103" s="76"/>
      <c r="F103" s="200"/>
      <c r="G103" s="1021"/>
      <c r="H103" s="1014"/>
    </row>
    <row r="104" spans="1:8" ht="24" customHeight="1">
      <c r="A104" s="7" t="s">
        <v>901</v>
      </c>
      <c r="B104" s="71"/>
      <c r="C104" s="178" t="s">
        <v>981</v>
      </c>
      <c r="D104" s="139"/>
      <c r="E104" s="76" t="s">
        <v>55</v>
      </c>
      <c r="F104" s="1006">
        <f>H102</f>
        <v>420000</v>
      </c>
      <c r="G104" s="1033"/>
      <c r="H104" s="1014"/>
    </row>
    <row r="105" spans="1:8" ht="15" customHeight="1">
      <c r="A105" s="7"/>
      <c r="B105" s="71"/>
      <c r="C105" s="908"/>
      <c r="D105" s="80"/>
      <c r="E105" s="80"/>
      <c r="F105" s="200"/>
      <c r="G105" s="1028"/>
      <c r="H105" s="1014"/>
    </row>
    <row r="106" spans="1:8" ht="29.25" customHeight="1">
      <c r="A106" s="7" t="s">
        <v>902</v>
      </c>
      <c r="B106" s="71"/>
      <c r="C106" s="178" t="s">
        <v>885</v>
      </c>
      <c r="D106" s="139"/>
      <c r="E106" s="7" t="s">
        <v>205</v>
      </c>
      <c r="F106" s="200">
        <v>1</v>
      </c>
      <c r="G106" s="1021">
        <f>35000*12</f>
        <v>420000</v>
      </c>
      <c r="H106" s="1014">
        <f>G106*F106</f>
        <v>420000</v>
      </c>
    </row>
    <row r="107" spans="1:8">
      <c r="A107" s="7"/>
      <c r="B107" s="71"/>
      <c r="C107" s="907"/>
      <c r="D107" s="76"/>
      <c r="E107" s="76"/>
      <c r="F107" s="200"/>
      <c r="G107" s="1021"/>
      <c r="H107" s="1014"/>
    </row>
    <row r="108" spans="1:8" ht="24" customHeight="1">
      <c r="A108" s="7" t="s">
        <v>903</v>
      </c>
      <c r="B108" s="71"/>
      <c r="C108" s="178" t="s">
        <v>981</v>
      </c>
      <c r="D108" s="139"/>
      <c r="E108" s="76" t="s">
        <v>55</v>
      </c>
      <c r="F108" s="1006">
        <f>H106</f>
        <v>420000</v>
      </c>
      <c r="G108" s="1033"/>
      <c r="H108" s="1014"/>
    </row>
    <row r="109" spans="1:8">
      <c r="A109" s="7"/>
      <c r="B109" s="71"/>
      <c r="C109" s="907"/>
      <c r="D109" s="76"/>
      <c r="E109" s="76"/>
      <c r="F109" s="200"/>
      <c r="G109" s="1027"/>
      <c r="H109" s="1014"/>
    </row>
    <row r="110" spans="1:8" ht="15" customHeight="1">
      <c r="A110" s="4" t="s">
        <v>891</v>
      </c>
      <c r="B110" s="19" t="s">
        <v>50</v>
      </c>
      <c r="C110" s="945" t="s">
        <v>51</v>
      </c>
      <c r="D110" s="938"/>
      <c r="E110" s="7"/>
      <c r="F110" s="6"/>
      <c r="G110" s="1010"/>
      <c r="H110" s="1010"/>
    </row>
    <row r="111" spans="1:8" ht="15" customHeight="1">
      <c r="A111" s="7"/>
      <c r="B111" s="75"/>
      <c r="C111" s="66"/>
      <c r="D111" s="19"/>
      <c r="E111" s="14"/>
      <c r="F111" s="6"/>
      <c r="G111" s="1010"/>
      <c r="H111" s="1010"/>
    </row>
    <row r="112" spans="1:8" ht="15" customHeight="1">
      <c r="A112" s="7" t="s">
        <v>894</v>
      </c>
      <c r="B112" s="13" t="s">
        <v>52</v>
      </c>
      <c r="C112" s="34" t="s">
        <v>1386</v>
      </c>
      <c r="D112" s="40"/>
      <c r="E112" s="7" t="s">
        <v>205</v>
      </c>
      <c r="F112" s="200">
        <v>1</v>
      </c>
      <c r="G112" s="1016">
        <v>400000</v>
      </c>
      <c r="H112" s="1014">
        <f>G112*F112</f>
        <v>400000</v>
      </c>
    </row>
    <row r="113" spans="1:8" ht="13.5" customHeight="1">
      <c r="A113" s="7"/>
      <c r="B113" s="75"/>
      <c r="C113" s="5"/>
      <c r="D113" s="7"/>
      <c r="E113" s="7"/>
      <c r="F113" s="6"/>
      <c r="G113" s="1010"/>
      <c r="H113" s="1010"/>
    </row>
    <row r="114" spans="1:8" ht="15" customHeight="1">
      <c r="A114" s="7" t="s">
        <v>191</v>
      </c>
      <c r="B114" s="13" t="s">
        <v>50</v>
      </c>
      <c r="C114" s="5" t="s">
        <v>54</v>
      </c>
      <c r="D114" s="7"/>
      <c r="E114" s="7" t="s">
        <v>55</v>
      </c>
      <c r="F114" s="1006">
        <v>100000</v>
      </c>
      <c r="G114" s="1033"/>
      <c r="H114" s="1014"/>
    </row>
    <row r="115" spans="1:8" ht="10.5" customHeight="1">
      <c r="A115" s="4"/>
      <c r="B115" s="75"/>
      <c r="C115" s="5" t="s">
        <v>980</v>
      </c>
      <c r="D115" s="7"/>
      <c r="E115" s="7"/>
      <c r="F115" s="6"/>
      <c r="G115" s="1010"/>
      <c r="H115" s="1010"/>
    </row>
    <row r="116" spans="1:8" ht="15" customHeight="1">
      <c r="A116" s="7"/>
      <c r="B116" s="75"/>
      <c r="C116" s="66"/>
      <c r="D116" s="19"/>
      <c r="E116" s="14"/>
      <c r="F116" s="6"/>
      <c r="G116" s="1010"/>
      <c r="H116" s="1010"/>
    </row>
    <row r="117" spans="1:8" ht="15" customHeight="1">
      <c r="A117" s="7" t="s">
        <v>192</v>
      </c>
      <c r="B117" s="13" t="s">
        <v>52</v>
      </c>
      <c r="C117" s="34" t="s">
        <v>878</v>
      </c>
      <c r="D117" s="40"/>
      <c r="E117" s="7" t="s">
        <v>205</v>
      </c>
      <c r="F117" s="200">
        <v>1</v>
      </c>
      <c r="G117" s="1010">
        <v>300000</v>
      </c>
      <c r="H117" s="1014">
        <f>G117*F117</f>
        <v>300000</v>
      </c>
    </row>
    <row r="118" spans="1:8" ht="13.5" customHeight="1">
      <c r="A118" s="7"/>
      <c r="B118" s="75"/>
      <c r="C118" s="5"/>
      <c r="D118" s="7"/>
      <c r="E118" s="7"/>
      <c r="F118" s="6"/>
      <c r="G118" s="1010"/>
      <c r="H118" s="1010"/>
    </row>
    <row r="119" spans="1:8" ht="15" customHeight="1">
      <c r="A119" s="7" t="s">
        <v>193</v>
      </c>
      <c r="B119" s="13" t="s">
        <v>50</v>
      </c>
      <c r="C119" s="5" t="s">
        <v>54</v>
      </c>
      <c r="D119" s="7"/>
      <c r="E119" s="7" t="s">
        <v>55</v>
      </c>
      <c r="F119" s="1006">
        <f>H117</f>
        <v>300000</v>
      </c>
      <c r="G119" s="1033"/>
      <c r="H119" s="1014"/>
    </row>
    <row r="120" spans="1:8" ht="10.5" customHeight="1">
      <c r="A120" s="4"/>
      <c r="B120" s="75"/>
      <c r="C120" s="5" t="s">
        <v>980</v>
      </c>
      <c r="D120" s="7"/>
      <c r="E120" s="7"/>
      <c r="F120" s="6"/>
      <c r="G120" s="1010"/>
      <c r="H120" s="1010"/>
    </row>
    <row r="121" spans="1:8" ht="15" customHeight="1">
      <c r="A121" s="7"/>
      <c r="B121" s="75"/>
      <c r="C121" s="66"/>
      <c r="D121" s="19"/>
      <c r="E121" s="14"/>
      <c r="F121" s="6"/>
      <c r="G121" s="1010"/>
      <c r="H121" s="1010"/>
    </row>
    <row r="122" spans="1:8" ht="15" customHeight="1">
      <c r="A122" s="7" t="s">
        <v>211</v>
      </c>
      <c r="B122" s="13" t="s">
        <v>52</v>
      </c>
      <c r="C122" s="34" t="s">
        <v>875</v>
      </c>
      <c r="D122" s="40"/>
      <c r="E122" s="7" t="s">
        <v>205</v>
      </c>
      <c r="F122" s="200">
        <v>1</v>
      </c>
      <c r="G122" s="1010">
        <v>65000</v>
      </c>
      <c r="H122" s="1014">
        <f>G122*F122</f>
        <v>65000</v>
      </c>
    </row>
    <row r="123" spans="1:8" ht="13.5" customHeight="1">
      <c r="A123" s="7"/>
      <c r="B123" s="75"/>
      <c r="C123" s="5"/>
      <c r="D123" s="7"/>
      <c r="E123" s="7"/>
      <c r="F123" s="6"/>
      <c r="G123" s="1010"/>
      <c r="H123" s="1010"/>
    </row>
    <row r="124" spans="1:8" ht="15" customHeight="1">
      <c r="A124" s="7" t="s">
        <v>904</v>
      </c>
      <c r="B124" s="13" t="s">
        <v>50</v>
      </c>
      <c r="C124" s="5" t="s">
        <v>54</v>
      </c>
      <c r="D124" s="7"/>
      <c r="E124" s="7" t="s">
        <v>55</v>
      </c>
      <c r="F124" s="1006">
        <f>H122</f>
        <v>65000</v>
      </c>
      <c r="G124" s="1033"/>
      <c r="H124" s="1014"/>
    </row>
    <row r="125" spans="1:8" ht="10.5" customHeight="1">
      <c r="A125" s="4"/>
      <c r="B125" s="75"/>
      <c r="C125" s="5" t="s">
        <v>980</v>
      </c>
      <c r="D125" s="7"/>
      <c r="E125" s="7"/>
      <c r="F125" s="6"/>
      <c r="G125" s="1010"/>
      <c r="H125" s="1010"/>
    </row>
    <row r="126" spans="1:8" ht="10.5" customHeight="1">
      <c r="A126" s="4"/>
      <c r="B126" s="75"/>
      <c r="C126" s="5"/>
      <c r="D126" s="7"/>
      <c r="E126" s="7"/>
      <c r="F126" s="6"/>
      <c r="G126" s="1010"/>
      <c r="H126" s="1010"/>
    </row>
    <row r="127" spans="1:8">
      <c r="A127" s="4" t="s">
        <v>892</v>
      </c>
      <c r="B127" s="19" t="s">
        <v>200</v>
      </c>
      <c r="C127" s="944" t="s">
        <v>56</v>
      </c>
      <c r="D127" s="939"/>
      <c r="E127" s="14"/>
      <c r="F127" s="6"/>
      <c r="G127" s="1010"/>
      <c r="H127" s="1010"/>
    </row>
    <row r="128" spans="1:8">
      <c r="A128" s="7" t="s">
        <v>80</v>
      </c>
      <c r="B128" s="13" t="s">
        <v>57</v>
      </c>
      <c r="C128" s="5" t="s">
        <v>58</v>
      </c>
      <c r="D128" s="7"/>
      <c r="E128" s="7"/>
      <c r="F128" s="6"/>
      <c r="G128" s="1010"/>
      <c r="H128" s="1010"/>
    </row>
    <row r="129" spans="1:8">
      <c r="A129" s="7"/>
      <c r="B129" s="75"/>
      <c r="C129" s="919"/>
      <c r="D129" s="933"/>
      <c r="E129" s="7"/>
      <c r="F129" s="6"/>
      <c r="G129" s="1026"/>
      <c r="H129" s="1010"/>
    </row>
    <row r="130" spans="1:8">
      <c r="A130" s="7" t="s">
        <v>905</v>
      </c>
      <c r="B130" s="75"/>
      <c r="C130" s="5" t="s">
        <v>59</v>
      </c>
      <c r="D130" s="7"/>
      <c r="E130" s="7" t="s">
        <v>60</v>
      </c>
      <c r="F130" s="200">
        <v>25</v>
      </c>
      <c r="G130" s="1029"/>
      <c r="H130" s="1014"/>
    </row>
    <row r="131" spans="1:8">
      <c r="A131" s="7"/>
      <c r="B131" s="75"/>
      <c r="C131" s="5" t="s">
        <v>61</v>
      </c>
      <c r="D131" s="7"/>
      <c r="E131" s="7"/>
      <c r="F131" s="45"/>
      <c r="G131" s="1029"/>
      <c r="H131" s="1016"/>
    </row>
    <row r="132" spans="1:8">
      <c r="A132" s="7"/>
      <c r="B132" s="75"/>
      <c r="C132" s="5"/>
      <c r="D132" s="7"/>
      <c r="E132" s="7"/>
      <c r="F132" s="45"/>
      <c r="G132" s="1029"/>
      <c r="H132" s="1016"/>
    </row>
    <row r="133" spans="1:8" ht="82.8">
      <c r="A133" s="7" t="s">
        <v>1777</v>
      </c>
      <c r="B133" s="75"/>
      <c r="C133" s="62" t="s">
        <v>1778</v>
      </c>
      <c r="D133" s="7"/>
      <c r="E133" s="47" t="s">
        <v>136</v>
      </c>
      <c r="F133" s="200">
        <v>20</v>
      </c>
      <c r="G133" s="1026"/>
      <c r="H133" s="1014"/>
    </row>
    <row r="134" spans="1:8">
      <c r="A134" s="7"/>
      <c r="B134" s="75"/>
      <c r="C134" s="5"/>
      <c r="D134" s="7"/>
      <c r="E134" s="7"/>
      <c r="F134" s="45"/>
      <c r="G134" s="1029"/>
      <c r="H134" s="1016"/>
    </row>
    <row r="135" spans="1:8" ht="15" customHeight="1">
      <c r="A135" s="7" t="s">
        <v>83</v>
      </c>
      <c r="B135" s="13" t="s">
        <v>62</v>
      </c>
      <c r="C135" s="5" t="s">
        <v>198</v>
      </c>
      <c r="D135" s="7"/>
      <c r="E135" s="47" t="s">
        <v>142</v>
      </c>
      <c r="F135" s="200">
        <v>1</v>
      </c>
      <c r="G135" s="1026"/>
      <c r="H135" s="1014"/>
    </row>
    <row r="136" spans="1:8" ht="15" customHeight="1">
      <c r="A136" s="7"/>
      <c r="B136" s="75"/>
      <c r="C136" s="5" t="s">
        <v>199</v>
      </c>
      <c r="D136" s="7"/>
      <c r="E136" s="7"/>
      <c r="F136" s="6"/>
      <c r="G136" s="1026"/>
      <c r="H136" s="1010"/>
    </row>
    <row r="137" spans="1:8">
      <c r="A137" s="7" t="s">
        <v>85</v>
      </c>
      <c r="B137" s="13" t="s">
        <v>64</v>
      </c>
      <c r="C137" s="5" t="s">
        <v>63</v>
      </c>
      <c r="D137" s="933"/>
      <c r="E137" s="47" t="s">
        <v>142</v>
      </c>
      <c r="F137" s="200">
        <v>1</v>
      </c>
      <c r="G137" s="1026"/>
      <c r="H137" s="1014"/>
    </row>
    <row r="138" spans="1:8">
      <c r="A138" s="7"/>
      <c r="B138" s="75"/>
      <c r="C138" s="5"/>
      <c r="D138" s="7"/>
      <c r="E138" s="7"/>
      <c r="F138" s="6"/>
      <c r="G138" s="1026"/>
      <c r="H138" s="1010"/>
    </row>
    <row r="139" spans="1:8">
      <c r="A139" s="7" t="s">
        <v>212</v>
      </c>
      <c r="B139" s="13" t="s">
        <v>216</v>
      </c>
      <c r="C139" s="5" t="s">
        <v>65</v>
      </c>
      <c r="D139" s="933"/>
      <c r="E139" s="7" t="s">
        <v>35</v>
      </c>
      <c r="F139" s="87">
        <v>12</v>
      </c>
      <c r="G139" s="1029"/>
      <c r="H139" s="1014"/>
    </row>
    <row r="140" spans="1:8">
      <c r="A140" s="7"/>
      <c r="B140" s="13"/>
      <c r="C140" s="5"/>
      <c r="D140" s="933"/>
      <c r="E140" s="7"/>
      <c r="F140" s="87"/>
      <c r="G140" s="1029"/>
      <c r="H140" s="1014"/>
    </row>
    <row r="141" spans="1:8">
      <c r="A141" s="7"/>
      <c r="B141" s="13" t="s">
        <v>216</v>
      </c>
      <c r="C141" s="5" t="s">
        <v>1385</v>
      </c>
      <c r="D141" s="933"/>
      <c r="E141" s="7" t="s">
        <v>35</v>
      </c>
      <c r="F141" s="87">
        <v>12</v>
      </c>
      <c r="G141" s="1029"/>
      <c r="H141" s="1014"/>
    </row>
    <row r="142" spans="1:8">
      <c r="A142" s="7"/>
      <c r="B142" s="13"/>
      <c r="C142" s="5"/>
      <c r="D142" s="933"/>
      <c r="E142" s="7"/>
      <c r="F142" s="87"/>
      <c r="G142" s="1029"/>
      <c r="H142" s="1014"/>
    </row>
    <row r="143" spans="1:8">
      <c r="A143" s="7" t="s">
        <v>213</v>
      </c>
      <c r="B143" s="13" t="s">
        <v>987</v>
      </c>
      <c r="C143" s="950" t="s">
        <v>982</v>
      </c>
      <c r="D143" s="933"/>
      <c r="E143" s="7" t="s">
        <v>205</v>
      </c>
      <c r="F143" s="87">
        <v>1</v>
      </c>
      <c r="G143" s="1017">
        <v>100000</v>
      </c>
      <c r="H143" s="1017">
        <f>+G143*F143</f>
        <v>100000</v>
      </c>
    </row>
    <row r="144" spans="1:8">
      <c r="A144" s="7"/>
      <c r="B144" s="13"/>
      <c r="C144" s="5" t="s">
        <v>985</v>
      </c>
      <c r="D144" s="933"/>
      <c r="E144" s="7" t="s">
        <v>55</v>
      </c>
      <c r="F144" s="1006">
        <f>+H143</f>
        <v>100000</v>
      </c>
      <c r="G144" s="1033"/>
      <c r="H144" s="1017"/>
    </row>
    <row r="145" spans="1:8">
      <c r="A145" s="7"/>
      <c r="B145" s="13"/>
      <c r="C145" s="5"/>
      <c r="D145" s="933"/>
      <c r="E145" s="7"/>
      <c r="F145" s="87"/>
      <c r="G145" s="1029"/>
      <c r="H145" s="1014"/>
    </row>
    <row r="146" spans="1:8" ht="27.6">
      <c r="A146" s="7" t="s">
        <v>1093</v>
      </c>
      <c r="B146" s="13" t="s">
        <v>987</v>
      </c>
      <c r="C146" s="951" t="s">
        <v>983</v>
      </c>
      <c r="D146" s="933"/>
      <c r="E146" s="7" t="s">
        <v>205</v>
      </c>
      <c r="F146" s="87">
        <v>1</v>
      </c>
      <c r="G146" s="1017">
        <v>150000</v>
      </c>
      <c r="H146" s="1017">
        <f>+G146*F146</f>
        <v>150000</v>
      </c>
    </row>
    <row r="147" spans="1:8">
      <c r="A147" s="7"/>
      <c r="B147" s="13"/>
      <c r="C147" s="5" t="s">
        <v>985</v>
      </c>
      <c r="D147" s="933"/>
      <c r="E147" s="7" t="s">
        <v>55</v>
      </c>
      <c r="F147" s="1006">
        <f>+H146</f>
        <v>150000</v>
      </c>
      <c r="G147" s="1033"/>
      <c r="H147" s="1014"/>
    </row>
    <row r="148" spans="1:8">
      <c r="A148" s="7"/>
      <c r="B148" s="13"/>
      <c r="C148" s="5"/>
      <c r="D148" s="933"/>
      <c r="E148" s="7"/>
      <c r="F148" s="87"/>
      <c r="G148" s="1029"/>
      <c r="H148" s="1014"/>
    </row>
    <row r="149" spans="1:8" ht="45.75" customHeight="1">
      <c r="A149" s="7" t="s">
        <v>1094</v>
      </c>
      <c r="B149" s="13" t="s">
        <v>987</v>
      </c>
      <c r="C149" s="951" t="s">
        <v>1331</v>
      </c>
      <c r="D149" s="1001"/>
      <c r="E149" s="7" t="s">
        <v>205</v>
      </c>
      <c r="F149" s="1002">
        <v>1</v>
      </c>
      <c r="G149" s="1017">
        <v>2200000</v>
      </c>
      <c r="H149" s="1017">
        <f>+G149*F149</f>
        <v>2200000</v>
      </c>
    </row>
    <row r="150" spans="1:8">
      <c r="A150" s="7"/>
      <c r="B150" s="13"/>
      <c r="C150" s="5" t="s">
        <v>985</v>
      </c>
      <c r="D150" s="933"/>
      <c r="E150" s="7" t="s">
        <v>55</v>
      </c>
      <c r="F150" s="1006">
        <f>+H149</f>
        <v>2200000</v>
      </c>
      <c r="G150" s="1032"/>
      <c r="H150" s="1017"/>
    </row>
    <row r="151" spans="1:8">
      <c r="A151" s="7"/>
      <c r="B151" s="13"/>
      <c r="C151" s="1004"/>
      <c r="D151" s="933"/>
      <c r="E151" s="7"/>
      <c r="F151" s="1003"/>
      <c r="G151" s="1029"/>
      <c r="H151" s="1014"/>
    </row>
    <row r="152" spans="1:8">
      <c r="A152" s="7" t="s">
        <v>1095</v>
      </c>
      <c r="B152" s="13" t="s">
        <v>987</v>
      </c>
      <c r="C152" s="1004" t="s">
        <v>984</v>
      </c>
      <c r="D152" s="933"/>
      <c r="E152" s="7" t="s">
        <v>205</v>
      </c>
      <c r="F152" s="1003">
        <v>1</v>
      </c>
      <c r="G152" s="1029">
        <v>1500000</v>
      </c>
      <c r="H152" s="1014">
        <f>+G152*F152</f>
        <v>1500000</v>
      </c>
    </row>
    <row r="153" spans="1:8">
      <c r="A153" s="7"/>
      <c r="B153" s="13"/>
      <c r="C153" s="5" t="s">
        <v>985</v>
      </c>
      <c r="D153" s="933"/>
      <c r="E153" s="7" t="s">
        <v>55</v>
      </c>
      <c r="F153" s="1006">
        <f>+H152</f>
        <v>1500000</v>
      </c>
      <c r="G153" s="1033"/>
      <c r="H153" s="1014"/>
    </row>
    <row r="154" spans="1:8">
      <c r="A154" s="7"/>
      <c r="B154" s="13"/>
      <c r="C154" s="1005"/>
      <c r="D154" s="933"/>
      <c r="E154" s="7"/>
      <c r="F154" s="1003"/>
      <c r="G154" s="1029"/>
      <c r="H154" s="1014"/>
    </row>
    <row r="155" spans="1:8">
      <c r="A155" s="7" t="s">
        <v>1096</v>
      </c>
      <c r="B155" s="13" t="s">
        <v>987</v>
      </c>
      <c r="C155" s="5" t="s">
        <v>1083</v>
      </c>
      <c r="D155" s="933"/>
      <c r="E155" s="7" t="s">
        <v>205</v>
      </c>
      <c r="F155" s="87">
        <v>1</v>
      </c>
      <c r="G155" s="1029">
        <f>350000*2</f>
        <v>700000</v>
      </c>
      <c r="H155" s="1014">
        <f>+G155*F155</f>
        <v>700000</v>
      </c>
    </row>
    <row r="156" spans="1:8">
      <c r="A156" s="7"/>
      <c r="B156" s="13"/>
      <c r="C156" s="5" t="s">
        <v>985</v>
      </c>
      <c r="D156" s="933"/>
      <c r="E156" s="7" t="s">
        <v>55</v>
      </c>
      <c r="F156" s="1010">
        <f>+H155</f>
        <v>700000</v>
      </c>
      <c r="G156" s="1032"/>
      <c r="H156" s="1014"/>
    </row>
    <row r="157" spans="1:8">
      <c r="A157" s="7"/>
      <c r="B157" s="13"/>
      <c r="C157" s="5"/>
      <c r="D157" s="933"/>
      <c r="E157" s="7"/>
      <c r="F157" s="87"/>
      <c r="G157" s="1029"/>
      <c r="H157" s="1014"/>
    </row>
    <row r="158" spans="1:8">
      <c r="A158" s="7" t="s">
        <v>1097</v>
      </c>
      <c r="B158" s="13" t="s">
        <v>987</v>
      </c>
      <c r="C158" s="5" t="s">
        <v>986</v>
      </c>
      <c r="D158" s="933"/>
      <c r="E158" s="7" t="s">
        <v>205</v>
      </c>
      <c r="F158" s="87">
        <v>1</v>
      </c>
      <c r="G158" s="1029">
        <v>250000</v>
      </c>
      <c r="H158" s="1014">
        <f>+G158*F158</f>
        <v>250000</v>
      </c>
    </row>
    <row r="159" spans="1:8">
      <c r="A159" s="7"/>
      <c r="B159" s="13"/>
      <c r="C159" s="5" t="s">
        <v>985</v>
      </c>
      <c r="D159" s="933"/>
      <c r="E159" s="7" t="s">
        <v>55</v>
      </c>
      <c r="F159" s="1010">
        <f>+H158</f>
        <v>250000</v>
      </c>
      <c r="G159" s="1032"/>
      <c r="H159" s="1014"/>
    </row>
    <row r="160" spans="1:8">
      <c r="A160" s="7"/>
      <c r="B160" s="13"/>
      <c r="C160" s="5"/>
      <c r="D160" s="933"/>
      <c r="E160" s="7"/>
      <c r="F160" s="87"/>
      <c r="G160" s="1029"/>
      <c r="H160" s="1014"/>
    </row>
    <row r="161" spans="1:8" ht="14.4" thickBot="1">
      <c r="A161" s="7" t="s">
        <v>213</v>
      </c>
      <c r="B161" s="13" t="s">
        <v>216</v>
      </c>
      <c r="C161" s="5" t="s">
        <v>874</v>
      </c>
      <c r="D161" s="933"/>
      <c r="E161" s="47" t="s">
        <v>142</v>
      </c>
      <c r="F161" s="87">
        <v>1</v>
      </c>
      <c r="G161" s="1029"/>
      <c r="H161" s="1014"/>
    </row>
    <row r="162" spans="1:8" ht="21" customHeight="1" thickBot="1">
      <c r="A162" s="2137" t="s">
        <v>48</v>
      </c>
      <c r="B162" s="2138"/>
      <c r="C162" s="2138"/>
      <c r="D162" s="2138"/>
      <c r="E162" s="2138"/>
      <c r="F162" s="188"/>
      <c r="G162" s="1030"/>
      <c r="H162" s="1018"/>
    </row>
    <row r="163" spans="1:8" ht="14.4" thickBot="1">
      <c r="A163" s="940"/>
      <c r="B163" s="941"/>
      <c r="C163" s="912"/>
      <c r="D163" s="940"/>
      <c r="E163" s="940"/>
      <c r="F163" s="942"/>
      <c r="G163" s="1031"/>
      <c r="H163" s="1019"/>
    </row>
    <row r="164" spans="1:8">
      <c r="A164" s="2142" t="s">
        <v>111</v>
      </c>
      <c r="B164" s="2142" t="s">
        <v>112</v>
      </c>
      <c r="C164" s="2139" t="s">
        <v>2</v>
      </c>
      <c r="D164" s="910" t="s">
        <v>882</v>
      </c>
      <c r="E164" s="930" t="s">
        <v>3</v>
      </c>
      <c r="F164" s="930" t="s">
        <v>564</v>
      </c>
      <c r="G164" s="959" t="s">
        <v>5</v>
      </c>
      <c r="H164" s="959" t="s">
        <v>565</v>
      </c>
    </row>
    <row r="165" spans="1:8" ht="14.4" thickBot="1">
      <c r="A165" s="2143"/>
      <c r="B165" s="2143"/>
      <c r="C165" s="2140"/>
      <c r="D165" s="911" t="s">
        <v>883</v>
      </c>
      <c r="E165" s="931"/>
      <c r="F165" s="932"/>
      <c r="G165" s="960"/>
      <c r="H165" s="960" t="s">
        <v>6</v>
      </c>
    </row>
    <row r="166" spans="1:8" ht="14.4" thickBot="1">
      <c r="A166" s="2137" t="s">
        <v>49</v>
      </c>
      <c r="B166" s="2138"/>
      <c r="C166" s="2138"/>
      <c r="D166" s="2138"/>
      <c r="E166" s="2138"/>
      <c r="F166" s="189"/>
      <c r="G166" s="1024"/>
      <c r="H166" s="1013"/>
    </row>
    <row r="167" spans="1:8" ht="12.75" customHeight="1">
      <c r="A167" s="7"/>
      <c r="B167" s="75"/>
      <c r="C167" s="5"/>
      <c r="D167" s="7"/>
      <c r="E167" s="7"/>
      <c r="F167" s="6"/>
      <c r="G167" s="1010"/>
      <c r="H167" s="1010"/>
    </row>
    <row r="168" spans="1:8">
      <c r="A168" s="4" t="s">
        <v>893</v>
      </c>
      <c r="B168" s="19" t="s">
        <v>218</v>
      </c>
      <c r="C168" s="36" t="s">
        <v>66</v>
      </c>
      <c r="D168" s="7"/>
      <c r="E168" s="7"/>
      <c r="F168" s="6"/>
      <c r="G168" s="1026"/>
      <c r="H168" s="1010"/>
    </row>
    <row r="169" spans="1:8" ht="15" customHeight="1">
      <c r="A169" s="7"/>
      <c r="B169" s="943"/>
      <c r="C169" s="36" t="s">
        <v>67</v>
      </c>
      <c r="D169" s="7"/>
      <c r="E169" s="7"/>
      <c r="F169" s="6"/>
      <c r="G169" s="1026"/>
      <c r="H169" s="1010"/>
    </row>
    <row r="170" spans="1:8">
      <c r="A170" s="7"/>
      <c r="B170" s="75"/>
      <c r="C170" s="5"/>
      <c r="D170" s="7"/>
      <c r="E170" s="7"/>
      <c r="F170" s="6"/>
      <c r="G170" s="1026"/>
      <c r="H170" s="1010"/>
    </row>
    <row r="171" spans="1:8">
      <c r="A171" s="7" t="s">
        <v>169</v>
      </c>
      <c r="B171" s="13" t="s">
        <v>219</v>
      </c>
      <c r="C171" s="5" t="s">
        <v>68</v>
      </c>
      <c r="D171" s="7"/>
      <c r="E171" s="7" t="s">
        <v>73</v>
      </c>
      <c r="F171" s="200">
        <v>1</v>
      </c>
      <c r="G171" s="1026"/>
      <c r="H171" s="1014"/>
    </row>
    <row r="172" spans="1:8">
      <c r="A172" s="7"/>
      <c r="B172" s="75"/>
      <c r="C172" s="5" t="s">
        <v>69</v>
      </c>
      <c r="D172" s="7"/>
      <c r="E172" s="7"/>
      <c r="F172" s="6"/>
      <c r="G172" s="1026"/>
      <c r="H172" s="1010"/>
    </row>
    <row r="173" spans="1:8">
      <c r="A173" s="7"/>
      <c r="B173" s="75"/>
      <c r="C173" s="5" t="s">
        <v>70</v>
      </c>
      <c r="D173" s="7"/>
      <c r="E173" s="7"/>
      <c r="F173" s="6"/>
      <c r="G173" s="1026"/>
      <c r="H173" s="1010"/>
    </row>
    <row r="174" spans="1:8" ht="15" customHeight="1">
      <c r="A174" s="7"/>
      <c r="B174" s="75"/>
      <c r="C174" s="5" t="s">
        <v>71</v>
      </c>
      <c r="D174" s="7"/>
      <c r="E174" s="7"/>
      <c r="F174" s="6"/>
      <c r="G174" s="1026"/>
      <c r="H174" s="1010"/>
    </row>
    <row r="175" spans="1:8" ht="15" customHeight="1">
      <c r="A175" s="7"/>
      <c r="B175" s="75"/>
      <c r="C175" s="5" t="s">
        <v>72</v>
      </c>
      <c r="D175" s="7"/>
      <c r="E175" s="7"/>
      <c r="F175" s="6"/>
      <c r="G175" s="1026"/>
      <c r="H175" s="1010"/>
    </row>
    <row r="176" spans="1:8" ht="15" customHeight="1">
      <c r="A176" s="7"/>
      <c r="B176" s="75"/>
      <c r="C176" s="919"/>
      <c r="D176" s="933"/>
      <c r="E176" s="7"/>
      <c r="F176" s="6"/>
      <c r="G176" s="1026"/>
      <c r="H176" s="1010"/>
    </row>
    <row r="177" spans="1:8" ht="15" customHeight="1">
      <c r="A177" s="8" t="s">
        <v>170</v>
      </c>
      <c r="B177" s="13" t="s">
        <v>219</v>
      </c>
      <c r="C177" s="5" t="s">
        <v>74</v>
      </c>
      <c r="D177" s="7"/>
      <c r="E177" s="7" t="s">
        <v>73</v>
      </c>
      <c r="F177" s="200">
        <v>1</v>
      </c>
      <c r="G177" s="1029"/>
      <c r="H177" s="1014"/>
    </row>
    <row r="178" spans="1:8" ht="15" customHeight="1">
      <c r="A178" s="7"/>
      <c r="B178" s="75"/>
      <c r="C178" s="5" t="s">
        <v>75</v>
      </c>
      <c r="D178" s="7"/>
      <c r="E178" s="7"/>
      <c r="F178" s="45"/>
      <c r="G178" s="1029"/>
      <c r="H178" s="1016"/>
    </row>
    <row r="179" spans="1:8" ht="15" customHeight="1">
      <c r="A179" s="7"/>
      <c r="B179" s="75"/>
      <c r="C179" s="5" t="s">
        <v>76</v>
      </c>
      <c r="D179" s="7"/>
      <c r="E179" s="7"/>
      <c r="F179" s="45"/>
      <c r="G179" s="1029"/>
      <c r="H179" s="1016"/>
    </row>
    <row r="180" spans="1:8" ht="15" customHeight="1">
      <c r="A180" s="7"/>
      <c r="B180" s="75"/>
      <c r="C180" s="5"/>
      <c r="D180" s="7"/>
      <c r="E180" s="7"/>
      <c r="F180" s="45"/>
      <c r="G180" s="1029"/>
      <c r="H180" s="1016"/>
    </row>
    <row r="181" spans="1:8" ht="15" customHeight="1">
      <c r="A181" s="7" t="s">
        <v>171</v>
      </c>
      <c r="B181" s="13" t="s">
        <v>219</v>
      </c>
      <c r="C181" s="5" t="s">
        <v>77</v>
      </c>
      <c r="D181" s="7"/>
      <c r="E181" s="7" t="s">
        <v>53</v>
      </c>
      <c r="F181" s="200">
        <v>1</v>
      </c>
      <c r="G181" s="1029"/>
      <c r="H181" s="1014"/>
    </row>
    <row r="182" spans="1:8">
      <c r="A182" s="7"/>
      <c r="B182" s="71"/>
      <c r="C182" s="5"/>
      <c r="D182" s="7"/>
      <c r="E182" s="7"/>
      <c r="F182" s="1034"/>
      <c r="G182" s="1035"/>
      <c r="H182" s="1009"/>
    </row>
    <row r="183" spans="1:8" ht="15" customHeight="1">
      <c r="A183" s="4" t="s">
        <v>906</v>
      </c>
      <c r="B183" s="943"/>
      <c r="C183" s="54" t="s">
        <v>202</v>
      </c>
      <c r="D183" s="56"/>
      <c r="E183" s="7"/>
      <c r="F183" s="45"/>
      <c r="G183" s="1029"/>
      <c r="H183" s="1016"/>
    </row>
    <row r="184" spans="1:8" ht="15" customHeight="1">
      <c r="A184" s="7"/>
      <c r="B184" s="75"/>
      <c r="C184" s="28"/>
      <c r="D184" s="24"/>
      <c r="E184" s="7"/>
      <c r="F184" s="45"/>
      <c r="G184" s="1029"/>
      <c r="H184" s="1016"/>
    </row>
    <row r="185" spans="1:8" ht="15" customHeight="1">
      <c r="A185" s="7"/>
      <c r="B185" s="75"/>
      <c r="C185" s="5" t="s">
        <v>203</v>
      </c>
      <c r="D185" s="7"/>
      <c r="E185" s="7"/>
      <c r="F185" s="45"/>
      <c r="G185" s="1029"/>
      <c r="H185" s="1016"/>
    </row>
    <row r="186" spans="1:8" ht="15" customHeight="1">
      <c r="A186" s="7"/>
      <c r="B186" s="75"/>
      <c r="C186" s="28"/>
      <c r="D186" s="24"/>
      <c r="E186" s="7"/>
      <c r="F186" s="45"/>
      <c r="G186" s="1029"/>
      <c r="H186" s="1016"/>
    </row>
    <row r="187" spans="1:8" ht="15" customHeight="1">
      <c r="A187" s="7" t="s">
        <v>895</v>
      </c>
      <c r="B187" s="13" t="s">
        <v>217</v>
      </c>
      <c r="C187" s="5" t="s">
        <v>204</v>
      </c>
      <c r="D187" s="7"/>
      <c r="E187" s="7" t="s">
        <v>205</v>
      </c>
      <c r="F187" s="200">
        <v>1</v>
      </c>
      <c r="G187" s="1029">
        <v>1200000</v>
      </c>
      <c r="H187" s="1014">
        <f>G187*F187</f>
        <v>1200000</v>
      </c>
    </row>
    <row r="188" spans="1:8" ht="15" customHeight="1">
      <c r="A188" s="7"/>
      <c r="B188" s="75"/>
      <c r="C188" s="5"/>
      <c r="D188" s="7"/>
      <c r="E188" s="7"/>
      <c r="F188" s="45"/>
      <c r="G188" s="1029"/>
      <c r="H188" s="1016"/>
    </row>
    <row r="189" spans="1:8" s="926" customFormat="1" ht="15.75" customHeight="1">
      <c r="A189" s="7" t="s">
        <v>896</v>
      </c>
      <c r="B189" s="75"/>
      <c r="C189" s="5" t="s">
        <v>206</v>
      </c>
      <c r="D189" s="7"/>
      <c r="E189" s="7" t="s">
        <v>55</v>
      </c>
      <c r="F189" s="200">
        <f>H187</f>
        <v>1200000</v>
      </c>
      <c r="G189" s="1033"/>
      <c r="H189" s="1014"/>
    </row>
    <row r="190" spans="1:8" ht="15" customHeight="1">
      <c r="A190" s="7"/>
      <c r="B190" s="75"/>
      <c r="C190" s="5" t="s">
        <v>221</v>
      </c>
      <c r="D190" s="7"/>
      <c r="E190" s="7"/>
      <c r="F190" s="45"/>
      <c r="G190" s="1029"/>
      <c r="H190" s="1016"/>
    </row>
    <row r="191" spans="1:8" ht="11.4" customHeight="1">
      <c r="A191" s="4" t="s">
        <v>951</v>
      </c>
      <c r="B191" s="19" t="s">
        <v>10</v>
      </c>
      <c r="C191" s="36" t="s">
        <v>165</v>
      </c>
      <c r="D191" s="4"/>
      <c r="E191" s="7"/>
      <c r="F191" s="6"/>
      <c r="G191" s="1010"/>
      <c r="H191" s="1009"/>
    </row>
    <row r="192" spans="1:8" ht="9.9" customHeight="1">
      <c r="A192" s="7"/>
      <c r="B192" s="75"/>
      <c r="C192" s="5"/>
      <c r="D192" s="7"/>
      <c r="E192" s="7"/>
      <c r="F192" s="6"/>
      <c r="G192" s="1010"/>
      <c r="H192" s="1009"/>
    </row>
    <row r="193" spans="1:8">
      <c r="A193" s="7"/>
      <c r="B193" s="13" t="s">
        <v>909</v>
      </c>
      <c r="C193" s="5" t="s">
        <v>78</v>
      </c>
      <c r="D193" s="7"/>
      <c r="E193" s="7"/>
      <c r="F193" s="6"/>
      <c r="G193" s="1010"/>
      <c r="H193" s="1009"/>
    </row>
    <row r="194" spans="1:8" ht="9.9" customHeight="1">
      <c r="A194" s="7"/>
      <c r="B194" s="75"/>
      <c r="C194" s="5"/>
      <c r="D194" s="7"/>
      <c r="E194" s="7"/>
      <c r="F194" s="6"/>
      <c r="G194" s="1010"/>
      <c r="H194" s="1009"/>
    </row>
    <row r="195" spans="1:8">
      <c r="A195" s="7"/>
      <c r="B195" s="75"/>
      <c r="C195" s="5" t="s">
        <v>79</v>
      </c>
      <c r="D195" s="7"/>
      <c r="E195" s="7"/>
      <c r="F195" s="6"/>
      <c r="G195" s="1010"/>
      <c r="H195" s="1009"/>
    </row>
    <row r="196" spans="1:8" ht="9.9" customHeight="1">
      <c r="A196" s="7"/>
      <c r="B196" s="75"/>
      <c r="C196" s="5"/>
      <c r="D196" s="7"/>
      <c r="E196" s="7"/>
      <c r="F196" s="6"/>
      <c r="G196" s="1010"/>
      <c r="H196" s="1009"/>
    </row>
    <row r="197" spans="1:8">
      <c r="A197" s="7" t="s">
        <v>952</v>
      </c>
      <c r="B197" s="75"/>
      <c r="C197" s="5" t="s">
        <v>81</v>
      </c>
      <c r="D197" s="7"/>
      <c r="E197" s="7" t="s">
        <v>82</v>
      </c>
      <c r="F197" s="46">
        <v>60</v>
      </c>
      <c r="G197" s="1026"/>
      <c r="H197" s="1014"/>
    </row>
    <row r="198" spans="1:8" ht="8.25" customHeight="1">
      <c r="A198" s="7"/>
      <c r="B198" s="75"/>
      <c r="C198" s="5"/>
      <c r="D198" s="7"/>
      <c r="E198" s="7"/>
      <c r="F198" s="6"/>
      <c r="G198" s="1026"/>
      <c r="H198" s="1010"/>
    </row>
    <row r="199" spans="1:8">
      <c r="A199" s="7" t="s">
        <v>953</v>
      </c>
      <c r="B199" s="75"/>
      <c r="C199" s="5" t="s">
        <v>84</v>
      </c>
      <c r="D199" s="7"/>
      <c r="E199" s="7" t="s">
        <v>82</v>
      </c>
      <c r="F199" s="46">
        <v>10</v>
      </c>
      <c r="G199" s="1026"/>
      <c r="H199" s="1014"/>
    </row>
    <row r="200" spans="1:8" ht="8.25" customHeight="1">
      <c r="A200" s="7"/>
      <c r="B200" s="75"/>
      <c r="C200" s="5"/>
      <c r="D200" s="7"/>
      <c r="E200" s="7"/>
      <c r="F200" s="6"/>
      <c r="G200" s="1026"/>
      <c r="H200" s="1010"/>
    </row>
    <row r="201" spans="1:8">
      <c r="A201" s="7" t="s">
        <v>954</v>
      </c>
      <c r="B201" s="75"/>
      <c r="C201" s="5" t="s">
        <v>86</v>
      </c>
      <c r="D201" s="7"/>
      <c r="E201" s="7" t="s">
        <v>82</v>
      </c>
      <c r="F201" s="46">
        <v>25</v>
      </c>
      <c r="G201" s="1009"/>
      <c r="H201" s="1014"/>
    </row>
    <row r="202" spans="1:8" ht="8.25" customHeight="1">
      <c r="A202" s="7"/>
      <c r="B202" s="75"/>
      <c r="C202" s="5"/>
      <c r="D202" s="7"/>
      <c r="E202" s="7"/>
      <c r="F202" s="6"/>
      <c r="G202" s="1009"/>
      <c r="H202" s="1010"/>
    </row>
    <row r="203" spans="1:8">
      <c r="A203" s="7" t="s">
        <v>955</v>
      </c>
      <c r="B203" s="75"/>
      <c r="C203" s="5" t="s">
        <v>87</v>
      </c>
      <c r="D203" s="7"/>
      <c r="E203" s="7" t="s">
        <v>82</v>
      </c>
      <c r="F203" s="46">
        <v>150</v>
      </c>
      <c r="G203" s="1009"/>
      <c r="H203" s="1014"/>
    </row>
    <row r="204" spans="1:8" ht="19.5" customHeight="1">
      <c r="A204" s="7"/>
      <c r="B204" s="75"/>
      <c r="C204" s="5" t="s">
        <v>88</v>
      </c>
      <c r="D204" s="7"/>
      <c r="E204" s="7"/>
      <c r="F204" s="6"/>
      <c r="G204" s="1026"/>
      <c r="H204" s="1010"/>
    </row>
    <row r="205" spans="1:8" ht="9.9" customHeight="1">
      <c r="A205" s="7"/>
      <c r="B205" s="75"/>
      <c r="C205" s="5"/>
      <c r="D205" s="7"/>
      <c r="E205" s="7"/>
      <c r="F205" s="6"/>
      <c r="G205" s="1026"/>
      <c r="H205" s="1010"/>
    </row>
    <row r="206" spans="1:8">
      <c r="A206" s="7" t="s">
        <v>956</v>
      </c>
      <c r="B206" s="75"/>
      <c r="C206" s="5" t="s">
        <v>89</v>
      </c>
      <c r="D206" s="7"/>
      <c r="E206" s="7" t="s">
        <v>82</v>
      </c>
      <c r="F206" s="46">
        <v>10</v>
      </c>
      <c r="G206" s="1026"/>
      <c r="H206" s="1014"/>
    </row>
    <row r="207" spans="1:8" ht="9.9" customHeight="1">
      <c r="A207" s="7"/>
      <c r="B207" s="75"/>
      <c r="C207" s="5"/>
      <c r="D207" s="7"/>
      <c r="E207" s="7"/>
      <c r="F207" s="6"/>
      <c r="G207" s="1026"/>
      <c r="H207" s="1010"/>
    </row>
    <row r="208" spans="1:8">
      <c r="A208" s="7" t="s">
        <v>957</v>
      </c>
      <c r="B208" s="75"/>
      <c r="C208" s="5" t="s">
        <v>84</v>
      </c>
      <c r="D208" s="7"/>
      <c r="E208" s="7" t="s">
        <v>82</v>
      </c>
      <c r="F208" s="46">
        <v>10</v>
      </c>
      <c r="G208" s="1026"/>
      <c r="H208" s="1014"/>
    </row>
    <row r="209" spans="1:8" ht="9.9" customHeight="1">
      <c r="A209" s="7"/>
      <c r="B209" s="75"/>
      <c r="C209" s="5"/>
      <c r="D209" s="7"/>
      <c r="E209" s="7"/>
      <c r="F209" s="6"/>
      <c r="G209" s="1026"/>
      <c r="H209" s="1010"/>
    </row>
    <row r="210" spans="1:8">
      <c r="A210" s="7" t="s">
        <v>958</v>
      </c>
      <c r="B210" s="75"/>
      <c r="C210" s="5" t="s">
        <v>86</v>
      </c>
      <c r="D210" s="7"/>
      <c r="E210" s="7" t="s">
        <v>82</v>
      </c>
      <c r="F210" s="46">
        <v>10</v>
      </c>
      <c r="G210" s="1026"/>
      <c r="H210" s="1014"/>
    </row>
    <row r="211" spans="1:8" ht="9.9" customHeight="1">
      <c r="A211" s="7"/>
      <c r="B211" s="75"/>
      <c r="C211" s="5"/>
      <c r="D211" s="7"/>
      <c r="E211" s="7"/>
      <c r="F211" s="6"/>
      <c r="G211" s="1026"/>
      <c r="H211" s="1010"/>
    </row>
    <row r="212" spans="1:8">
      <c r="A212" s="7" t="s">
        <v>959</v>
      </c>
      <c r="B212" s="70"/>
      <c r="C212" s="5" t="s">
        <v>87</v>
      </c>
      <c r="D212" s="7"/>
      <c r="E212" s="7" t="s">
        <v>90</v>
      </c>
      <c r="F212" s="46">
        <v>50</v>
      </c>
      <c r="G212" s="1026"/>
      <c r="H212" s="1014"/>
    </row>
    <row r="213" spans="1:8">
      <c r="A213" s="7"/>
      <c r="B213" s="71"/>
      <c r="C213" s="5"/>
      <c r="D213" s="7"/>
      <c r="E213" s="7"/>
      <c r="F213" s="6"/>
      <c r="G213" s="1026"/>
      <c r="H213" s="1010"/>
    </row>
    <row r="214" spans="1:8">
      <c r="A214" s="7" t="s">
        <v>960</v>
      </c>
      <c r="B214" s="71"/>
      <c r="C214" s="5" t="s">
        <v>91</v>
      </c>
      <c r="D214" s="7"/>
      <c r="E214" s="7"/>
      <c r="F214" s="6"/>
      <c r="G214" s="1009"/>
      <c r="H214" s="1010"/>
    </row>
    <row r="215" spans="1:8">
      <c r="A215" s="7"/>
      <c r="B215" s="71"/>
      <c r="C215" s="922" t="s">
        <v>92</v>
      </c>
      <c r="D215" s="7"/>
      <c r="E215" s="7" t="s">
        <v>90</v>
      </c>
      <c r="F215" s="46">
        <v>48</v>
      </c>
      <c r="G215" s="1009"/>
      <c r="H215" s="1014"/>
    </row>
    <row r="216" spans="1:8">
      <c r="A216" s="7"/>
      <c r="B216" s="71"/>
      <c r="C216" s="5"/>
      <c r="D216" s="7"/>
      <c r="E216" s="7"/>
      <c r="F216" s="6"/>
      <c r="G216" s="1009"/>
      <c r="H216" s="1010"/>
    </row>
    <row r="217" spans="1:8">
      <c r="A217" s="7" t="s">
        <v>961</v>
      </c>
      <c r="B217" s="71"/>
      <c r="C217" s="5" t="s">
        <v>93</v>
      </c>
      <c r="D217" s="7"/>
      <c r="E217" s="7"/>
      <c r="F217" s="6"/>
      <c r="G217" s="1009"/>
      <c r="H217" s="1010"/>
    </row>
    <row r="218" spans="1:8">
      <c r="A218" s="4"/>
      <c r="B218" s="70"/>
      <c r="C218" s="5" t="s">
        <v>94</v>
      </c>
      <c r="D218" s="7"/>
      <c r="E218" s="7" t="s">
        <v>90</v>
      </c>
      <c r="F218" s="46">
        <v>48</v>
      </c>
      <c r="G218" s="1009"/>
      <c r="H218" s="1014"/>
    </row>
    <row r="219" spans="1:8">
      <c r="A219" s="7" t="s">
        <v>962</v>
      </c>
      <c r="B219" s="70"/>
      <c r="C219" s="5" t="s">
        <v>95</v>
      </c>
      <c r="D219" s="7"/>
      <c r="E219" s="7"/>
      <c r="F219" s="6"/>
      <c r="G219" s="1009"/>
      <c r="H219" s="1010"/>
    </row>
    <row r="220" spans="1:8">
      <c r="A220" s="7"/>
      <c r="B220" s="71"/>
      <c r="C220" s="5" t="s">
        <v>96</v>
      </c>
      <c r="D220" s="7"/>
      <c r="E220" s="7" t="s">
        <v>90</v>
      </c>
      <c r="F220" s="46">
        <v>48</v>
      </c>
      <c r="G220" s="1009"/>
      <c r="H220" s="1014"/>
    </row>
    <row r="221" spans="1:8">
      <c r="A221" s="7"/>
      <c r="B221" s="71"/>
      <c r="C221" s="5"/>
      <c r="D221" s="7"/>
      <c r="E221" s="7"/>
      <c r="F221" s="6"/>
      <c r="G221" s="1009"/>
      <c r="H221" s="1010"/>
    </row>
    <row r="222" spans="1:8">
      <c r="A222" s="7" t="s">
        <v>963</v>
      </c>
      <c r="B222" s="71"/>
      <c r="C222" s="5" t="s">
        <v>97</v>
      </c>
      <c r="D222" s="7"/>
      <c r="E222" s="7"/>
      <c r="F222" s="6"/>
      <c r="G222" s="1026"/>
      <c r="H222" s="1010"/>
    </row>
    <row r="223" spans="1:8">
      <c r="A223" s="4"/>
      <c r="B223" s="71"/>
      <c r="C223" s="5"/>
      <c r="D223" s="7"/>
      <c r="E223" s="7" t="s">
        <v>90</v>
      </c>
      <c r="F223" s="46">
        <v>48</v>
      </c>
      <c r="G223" s="1026"/>
      <c r="H223" s="1014"/>
    </row>
    <row r="224" spans="1:8">
      <c r="A224" s="7" t="s">
        <v>964</v>
      </c>
      <c r="B224" s="75"/>
      <c r="C224" s="923" t="s">
        <v>98</v>
      </c>
      <c r="D224" s="13"/>
      <c r="E224" s="20"/>
      <c r="F224" s="6"/>
      <c r="G224" s="1009"/>
      <c r="H224" s="1010"/>
    </row>
    <row r="225" spans="1:8">
      <c r="A225" s="7"/>
      <c r="B225" s="75"/>
      <c r="C225" s="5" t="s">
        <v>99</v>
      </c>
      <c r="D225" s="7"/>
      <c r="E225" s="7" t="s">
        <v>90</v>
      </c>
      <c r="F225" s="46">
        <v>48</v>
      </c>
      <c r="G225" s="1009"/>
      <c r="H225" s="1014"/>
    </row>
    <row r="226" spans="1:8">
      <c r="A226" s="7"/>
      <c r="B226" s="75"/>
      <c r="C226" s="923"/>
      <c r="D226" s="13"/>
      <c r="E226" s="14"/>
      <c r="F226" s="6"/>
      <c r="G226" s="1009"/>
      <c r="H226" s="1010"/>
    </row>
    <row r="227" spans="1:8">
      <c r="A227" s="7" t="s">
        <v>965</v>
      </c>
      <c r="B227" s="75"/>
      <c r="C227" s="923" t="s">
        <v>100</v>
      </c>
      <c r="D227" s="13"/>
      <c r="E227" s="14"/>
      <c r="F227" s="6"/>
      <c r="G227" s="1009"/>
      <c r="H227" s="1010"/>
    </row>
    <row r="228" spans="1:8" ht="14.4">
      <c r="A228" s="7"/>
      <c r="B228" s="75"/>
      <c r="C228" s="5" t="s">
        <v>560</v>
      </c>
      <c r="D228" s="7"/>
      <c r="E228" s="7" t="s">
        <v>90</v>
      </c>
      <c r="F228" s="46">
        <v>48</v>
      </c>
      <c r="G228" s="1009"/>
      <c r="H228" s="1014"/>
    </row>
    <row r="229" spans="1:8">
      <c r="A229" s="7"/>
      <c r="B229" s="75"/>
      <c r="C229" s="923"/>
      <c r="D229" s="13"/>
      <c r="E229" s="14"/>
      <c r="F229" s="6"/>
      <c r="G229" s="1009"/>
      <c r="H229" s="1010"/>
    </row>
    <row r="230" spans="1:8">
      <c r="A230" s="7" t="s">
        <v>966</v>
      </c>
      <c r="B230" s="75"/>
      <c r="C230" s="5" t="s">
        <v>101</v>
      </c>
      <c r="D230" s="7"/>
      <c r="E230" s="7"/>
      <c r="F230" s="6"/>
      <c r="G230" s="1026"/>
      <c r="H230" s="1010"/>
    </row>
    <row r="231" spans="1:8">
      <c r="A231" s="7"/>
      <c r="B231" s="75"/>
      <c r="C231" s="5" t="s">
        <v>102</v>
      </c>
      <c r="D231" s="7"/>
      <c r="E231" s="7" t="s">
        <v>90</v>
      </c>
      <c r="F231" s="46">
        <v>48</v>
      </c>
      <c r="G231" s="1026"/>
      <c r="H231" s="1014"/>
    </row>
    <row r="232" spans="1:8">
      <c r="A232" s="7"/>
      <c r="B232" s="75"/>
      <c r="C232" s="5"/>
      <c r="D232" s="7"/>
      <c r="E232" s="7"/>
      <c r="F232" s="6"/>
      <c r="G232" s="1026"/>
      <c r="H232" s="1010"/>
    </row>
    <row r="233" spans="1:8">
      <c r="A233" s="7" t="s">
        <v>967</v>
      </c>
      <c r="B233" s="75"/>
      <c r="C233" s="5" t="s">
        <v>103</v>
      </c>
      <c r="D233" s="7"/>
      <c r="E233" s="7"/>
      <c r="F233" s="6"/>
      <c r="G233" s="1026"/>
      <c r="H233" s="1010"/>
    </row>
    <row r="234" spans="1:8">
      <c r="A234" s="7"/>
      <c r="B234" s="75"/>
      <c r="C234" s="5" t="s">
        <v>104</v>
      </c>
      <c r="D234" s="7"/>
      <c r="E234" s="7" t="s">
        <v>90</v>
      </c>
      <c r="F234" s="46">
        <v>48</v>
      </c>
      <c r="G234" s="1026"/>
      <c r="H234" s="1014"/>
    </row>
    <row r="235" spans="1:8">
      <c r="A235" s="7"/>
      <c r="B235" s="75"/>
      <c r="C235" s="923"/>
      <c r="D235" s="13"/>
      <c r="E235" s="7"/>
      <c r="F235" s="6"/>
      <c r="G235" s="1026"/>
      <c r="H235" s="1010"/>
    </row>
    <row r="236" spans="1:8">
      <c r="A236" s="7" t="s">
        <v>968</v>
      </c>
      <c r="B236" s="75"/>
      <c r="C236" s="923" t="s">
        <v>105</v>
      </c>
      <c r="D236" s="13"/>
      <c r="E236" s="7"/>
      <c r="F236" s="6"/>
      <c r="G236" s="1026"/>
      <c r="H236" s="1010"/>
    </row>
    <row r="237" spans="1:8">
      <c r="A237" s="7"/>
      <c r="B237" s="75"/>
      <c r="C237" s="5" t="s">
        <v>106</v>
      </c>
      <c r="D237" s="7"/>
      <c r="E237" s="7" t="s">
        <v>90</v>
      </c>
      <c r="F237" s="46">
        <v>48</v>
      </c>
      <c r="G237" s="1009"/>
      <c r="H237" s="1014"/>
    </row>
    <row r="238" spans="1:8">
      <c r="A238" s="7"/>
      <c r="B238" s="75"/>
      <c r="C238" s="923"/>
      <c r="D238" s="13"/>
      <c r="E238" s="7"/>
      <c r="F238" s="6"/>
      <c r="G238" s="1026"/>
      <c r="H238" s="1010"/>
    </row>
    <row r="239" spans="1:8">
      <c r="A239" s="7" t="s">
        <v>969</v>
      </c>
      <c r="B239" s="75"/>
      <c r="C239" s="5" t="s">
        <v>107</v>
      </c>
      <c r="D239" s="7"/>
      <c r="E239" s="7"/>
      <c r="F239" s="6"/>
      <c r="G239" s="1026"/>
      <c r="H239" s="1010"/>
    </row>
    <row r="240" spans="1:8" ht="16.2">
      <c r="A240" s="7"/>
      <c r="B240" s="75"/>
      <c r="C240" s="5" t="s">
        <v>873</v>
      </c>
      <c r="D240" s="7"/>
      <c r="E240" s="7" t="s">
        <v>90</v>
      </c>
      <c r="F240" s="46">
        <v>48</v>
      </c>
      <c r="G240" s="1026"/>
      <c r="H240" s="1014"/>
    </row>
    <row r="241" spans="1:8">
      <c r="A241" s="7"/>
      <c r="B241" s="75"/>
      <c r="C241" s="5"/>
      <c r="D241" s="7"/>
      <c r="E241" s="7"/>
      <c r="F241" s="6"/>
      <c r="G241" s="1026"/>
      <c r="H241" s="1010"/>
    </row>
    <row r="242" spans="1:8">
      <c r="A242" s="7" t="s">
        <v>970</v>
      </c>
      <c r="B242" s="75"/>
      <c r="C242" s="5" t="s">
        <v>108</v>
      </c>
      <c r="D242" s="7"/>
      <c r="E242" s="7"/>
      <c r="F242" s="6"/>
      <c r="G242" s="1026"/>
      <c r="H242" s="1010"/>
    </row>
    <row r="243" spans="1:8" ht="14.4" thickBot="1">
      <c r="A243" s="7"/>
      <c r="B243" s="75"/>
      <c r="C243" s="5" t="s">
        <v>109</v>
      </c>
      <c r="D243" s="7"/>
      <c r="E243" s="7" t="s">
        <v>90</v>
      </c>
      <c r="F243" s="46">
        <v>48</v>
      </c>
      <c r="G243" s="1026"/>
      <c r="H243" s="1014"/>
    </row>
    <row r="244" spans="1:8" ht="40.5" customHeight="1" thickBot="1">
      <c r="A244" s="2137" t="s">
        <v>110</v>
      </c>
      <c r="B244" s="2138"/>
      <c r="C244" s="2138"/>
      <c r="D244" s="2138"/>
      <c r="E244" s="2138"/>
      <c r="F244" s="188"/>
      <c r="G244" s="1030"/>
      <c r="H244" s="1018"/>
    </row>
    <row r="253" spans="1:8">
      <c r="A253" s="927"/>
      <c r="B253" s="928"/>
      <c r="C253" s="927"/>
      <c r="D253" s="927"/>
      <c r="E253" s="927"/>
    </row>
    <row r="284" spans="1:5">
      <c r="A284" s="927"/>
      <c r="B284" s="928"/>
      <c r="C284" s="927"/>
      <c r="D284" s="927"/>
      <c r="E284" s="927"/>
    </row>
  </sheetData>
  <protectedRanges>
    <protectedRange password="C0A5" sqref="G58:G59" name="Range1"/>
    <protectedRange password="C0A5" sqref="G60:G61" name="Range1_1"/>
  </protectedRanges>
  <mergeCells count="15">
    <mergeCell ref="I41:P41"/>
    <mergeCell ref="A84:E84"/>
    <mergeCell ref="C7:C8"/>
    <mergeCell ref="A166:E166"/>
    <mergeCell ref="A7:A8"/>
    <mergeCell ref="B7:B8"/>
    <mergeCell ref="A244:E244"/>
    <mergeCell ref="A162:E162"/>
    <mergeCell ref="C164:C165"/>
    <mergeCell ref="C86:C87"/>
    <mergeCell ref="A88:G88"/>
    <mergeCell ref="A164:A165"/>
    <mergeCell ref="B164:B165"/>
    <mergeCell ref="A86:A87"/>
    <mergeCell ref="B86:B87"/>
  </mergeCells>
  <pageMargins left="0.70866141732283472" right="0.70866141732283472" top="0.74803149606299213" bottom="0.74803149606299213" header="0.31496062992125984" footer="0.31496062992125984"/>
  <pageSetup paperSize="9" scale="53" firstPageNumber="2" fitToHeight="0" orientation="portrait" r:id="rId1"/>
  <headerFooter scaleWithDoc="0" alignWithMargins="0">
    <oddHeader>&amp;C&amp;"Arial Narrow,Regular"&amp;10C80.2</oddHeader>
  </headerFooter>
  <rowBreaks count="2" manualBreakCount="2">
    <brk id="84" max="11" man="1"/>
    <brk id="162" max="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9"/>
  <sheetViews>
    <sheetView view="pageBreakPreview" topLeftCell="A109" zoomScaleNormal="100" zoomScaleSheetLayoutView="100" workbookViewId="0">
      <selection activeCell="F79" sqref="F79"/>
    </sheetView>
  </sheetViews>
  <sheetFormatPr defaultColWidth="9.109375" defaultRowHeight="13.8"/>
  <cols>
    <col min="1" max="1" width="9.109375" style="99"/>
    <col min="2" max="2" width="11.33203125" style="99" customWidth="1"/>
    <col min="3" max="3" width="65.109375" style="99" customWidth="1"/>
    <col min="4" max="4" width="10.33203125" style="100" customWidth="1"/>
    <col min="5" max="5" width="11.6640625" style="101" customWidth="1"/>
    <col min="6" max="6" width="13.6640625" style="100" customWidth="1"/>
    <col min="7" max="7" width="14.5546875" style="100" customWidth="1"/>
    <col min="8" max="16384" width="9.109375" style="99"/>
  </cols>
  <sheetData>
    <row r="1" spans="1:7">
      <c r="A1" s="3" t="str">
        <f>'1-P&amp;G''s '!A1</f>
        <v>GREATER LETABA MUNICIPALITY</v>
      </c>
      <c r="B1" s="3"/>
      <c r="C1" s="3"/>
      <c r="D1" s="35"/>
      <c r="E1" s="88"/>
      <c r="F1" s="82"/>
      <c r="G1" s="85"/>
    </row>
    <row r="2" spans="1:7">
      <c r="A2" s="3" t="str">
        <f>'1-P&amp;G''s '!A2</f>
        <v>CONTRACT NUMBER: GLM015/2025</v>
      </c>
      <c r="B2" s="3"/>
      <c r="C2" s="3"/>
      <c r="D2" s="1"/>
      <c r="E2" s="89"/>
      <c r="F2" s="98"/>
      <c r="G2" s="85"/>
    </row>
    <row r="3" spans="1:7">
      <c r="A3" s="3" t="str">
        <f>'1-P&amp;G''s '!A3</f>
        <v>CONSTRUCTION OF MAPHALLE LANDFILL SITE PH2</v>
      </c>
      <c r="B3" s="1"/>
      <c r="C3" s="2"/>
      <c r="D3" s="35"/>
      <c r="E3" s="88"/>
      <c r="F3" s="82"/>
      <c r="G3" s="85"/>
    </row>
    <row r="4" spans="1:7">
      <c r="A4" s="2248"/>
      <c r="B4" s="2248"/>
      <c r="C4" s="2248"/>
      <c r="D4" s="2248"/>
      <c r="E4" s="88"/>
      <c r="F4" s="82"/>
      <c r="G4" s="85"/>
    </row>
    <row r="5" spans="1:7">
      <c r="A5" s="3" t="s">
        <v>535</v>
      </c>
      <c r="B5" s="3"/>
      <c r="C5" s="3"/>
      <c r="D5" s="1"/>
      <c r="E5" s="89"/>
      <c r="F5" s="82"/>
      <c r="G5" s="85"/>
    </row>
    <row r="6" spans="1:7" ht="14.4" thickBot="1">
      <c r="A6" s="35"/>
      <c r="B6" s="35"/>
      <c r="C6" s="2"/>
      <c r="D6" s="35"/>
      <c r="E6" s="88"/>
      <c r="F6" s="82"/>
      <c r="G6" s="85"/>
    </row>
    <row r="7" spans="1:7">
      <c r="A7" s="2142" t="s">
        <v>111</v>
      </c>
      <c r="B7" s="2142" t="s">
        <v>112</v>
      </c>
      <c r="C7" s="2139" t="s">
        <v>2</v>
      </c>
      <c r="D7" s="2139" t="s">
        <v>3</v>
      </c>
      <c r="E7" s="2249" t="s">
        <v>4</v>
      </c>
      <c r="F7" s="2241" t="s">
        <v>5</v>
      </c>
      <c r="G7" s="2243" t="s">
        <v>6</v>
      </c>
    </row>
    <row r="8" spans="1:7" ht="14.4" thickBot="1">
      <c r="A8" s="2143"/>
      <c r="B8" s="2143"/>
      <c r="C8" s="2140"/>
      <c r="D8" s="2140"/>
      <c r="E8" s="2250"/>
      <c r="F8" s="2242"/>
      <c r="G8" s="2244"/>
    </row>
    <row r="9" spans="1:7">
      <c r="A9" s="57"/>
      <c r="B9" s="57"/>
      <c r="C9" s="58"/>
      <c r="D9" s="57"/>
      <c r="E9" s="90"/>
      <c r="F9" s="60"/>
      <c r="G9" s="59"/>
    </row>
    <row r="10" spans="1:7">
      <c r="A10" s="39"/>
      <c r="B10" s="4"/>
      <c r="C10" s="36" t="s">
        <v>222</v>
      </c>
      <c r="D10" s="7"/>
      <c r="E10" s="8"/>
      <c r="F10" s="48"/>
      <c r="G10" s="33"/>
    </row>
    <row r="11" spans="1:7">
      <c r="A11" s="7"/>
      <c r="B11" s="4"/>
      <c r="C11" s="63"/>
      <c r="D11" s="7"/>
      <c r="E11" s="8"/>
      <c r="F11" s="48"/>
      <c r="G11" s="33"/>
    </row>
    <row r="12" spans="1:7">
      <c r="A12" s="169">
        <v>1</v>
      </c>
      <c r="B12" s="169"/>
      <c r="C12" s="170" t="s">
        <v>483</v>
      </c>
      <c r="D12" s="76"/>
      <c r="E12" s="76"/>
      <c r="F12" s="48"/>
      <c r="G12" s="33"/>
    </row>
    <row r="13" spans="1:7" ht="16.5" customHeight="1">
      <c r="A13" s="136"/>
      <c r="B13" s="136"/>
      <c r="C13" s="171" t="s">
        <v>484</v>
      </c>
      <c r="D13" s="76"/>
      <c r="E13" s="76"/>
      <c r="F13" s="48"/>
      <c r="G13" s="33"/>
    </row>
    <row r="14" spans="1:7">
      <c r="A14" s="136"/>
      <c r="B14" s="136"/>
      <c r="C14" s="171"/>
      <c r="D14" s="76"/>
      <c r="E14" s="76"/>
      <c r="F14" s="48"/>
      <c r="G14" s="33"/>
    </row>
    <row r="15" spans="1:7" ht="14.25" customHeight="1">
      <c r="A15" s="136">
        <v>1.1000000000000001</v>
      </c>
      <c r="B15" s="136"/>
      <c r="C15" s="62" t="s">
        <v>536</v>
      </c>
      <c r="D15" s="76" t="s">
        <v>486</v>
      </c>
      <c r="E15" s="76">
        <v>1</v>
      </c>
      <c r="F15" s="48">
        <v>12950</v>
      </c>
      <c r="G15" s="33">
        <f>E15*F15</f>
        <v>12950</v>
      </c>
    </row>
    <row r="16" spans="1:7">
      <c r="A16" s="136">
        <v>1.2</v>
      </c>
      <c r="B16" s="136"/>
      <c r="C16" s="62" t="s">
        <v>537</v>
      </c>
      <c r="D16" s="76" t="s">
        <v>486</v>
      </c>
      <c r="E16" s="76">
        <v>1</v>
      </c>
      <c r="F16" s="48">
        <v>1460</v>
      </c>
      <c r="G16" s="33">
        <f>E16*F16</f>
        <v>1460</v>
      </c>
    </row>
    <row r="17" spans="1:7" ht="12" customHeight="1">
      <c r="A17" s="136"/>
      <c r="B17" s="136"/>
      <c r="C17" s="62"/>
      <c r="D17" s="76"/>
      <c r="E17" s="76"/>
      <c r="F17" s="48"/>
      <c r="G17" s="33"/>
    </row>
    <row r="18" spans="1:7">
      <c r="A18" s="136"/>
      <c r="B18" s="136"/>
      <c r="C18" s="62"/>
      <c r="D18" s="76"/>
      <c r="E18" s="76"/>
      <c r="F18" s="48"/>
      <c r="G18" s="33"/>
    </row>
    <row r="19" spans="1:7">
      <c r="A19" s="169">
        <v>2</v>
      </c>
      <c r="B19" s="169"/>
      <c r="C19" s="171" t="s">
        <v>538</v>
      </c>
      <c r="D19" s="76"/>
      <c r="E19" s="76"/>
      <c r="F19" s="48"/>
      <c r="G19" s="33"/>
    </row>
    <row r="20" spans="1:7">
      <c r="A20" s="136"/>
      <c r="B20" s="136"/>
      <c r="C20" s="62" t="s">
        <v>539</v>
      </c>
      <c r="D20" s="76"/>
      <c r="E20" s="76"/>
      <c r="F20" s="48"/>
      <c r="G20" s="33"/>
    </row>
    <row r="21" spans="1:7" ht="15.75" customHeight="1">
      <c r="A21" s="136"/>
      <c r="B21" s="136"/>
      <c r="C21" s="62"/>
      <c r="D21" s="76"/>
      <c r="E21" s="76"/>
      <c r="F21" s="48"/>
      <c r="G21" s="33"/>
    </row>
    <row r="22" spans="1:7">
      <c r="A22" s="136">
        <v>2.1</v>
      </c>
      <c r="B22" s="136"/>
      <c r="C22" s="62" t="s">
        <v>540</v>
      </c>
      <c r="D22" s="76" t="s">
        <v>136</v>
      </c>
      <c r="E22" s="76">
        <v>12</v>
      </c>
      <c r="F22" s="48">
        <v>143.04</v>
      </c>
      <c r="G22" s="33">
        <f>E22*F22</f>
        <v>1716.48</v>
      </c>
    </row>
    <row r="23" spans="1:7">
      <c r="A23" s="136"/>
      <c r="B23" s="136"/>
      <c r="C23" s="62" t="s">
        <v>541</v>
      </c>
      <c r="D23" s="76"/>
      <c r="E23" s="76"/>
      <c r="F23" s="48"/>
      <c r="G23" s="33"/>
    </row>
    <row r="24" spans="1:7">
      <c r="A24" s="136"/>
      <c r="B24" s="136"/>
      <c r="C24" s="62" t="s">
        <v>542</v>
      </c>
      <c r="D24" s="76"/>
      <c r="E24" s="76"/>
      <c r="F24" s="48"/>
      <c r="G24" s="33"/>
    </row>
    <row r="25" spans="1:7">
      <c r="A25" s="136"/>
      <c r="B25" s="136"/>
      <c r="C25" s="62"/>
      <c r="D25" s="76"/>
      <c r="E25" s="76"/>
      <c r="F25" s="48"/>
      <c r="G25" s="33"/>
    </row>
    <row r="26" spans="1:7">
      <c r="A26" s="169">
        <v>3</v>
      </c>
      <c r="B26" s="169"/>
      <c r="C26" s="171" t="s">
        <v>543</v>
      </c>
      <c r="D26" s="76"/>
      <c r="E26" s="76"/>
      <c r="F26" s="48"/>
      <c r="G26" s="33"/>
    </row>
    <row r="27" spans="1:7" ht="27.6">
      <c r="A27" s="136"/>
      <c r="B27" s="136"/>
      <c r="C27" s="62" t="s">
        <v>544</v>
      </c>
      <c r="D27" s="76"/>
      <c r="E27" s="76"/>
      <c r="F27" s="48"/>
      <c r="G27" s="33"/>
    </row>
    <row r="28" spans="1:7">
      <c r="A28" s="136"/>
      <c r="B28" s="136"/>
      <c r="C28" s="62"/>
      <c r="D28" s="76"/>
      <c r="E28" s="76"/>
      <c r="F28" s="48"/>
      <c r="G28" s="33"/>
    </row>
    <row r="29" spans="1:7">
      <c r="A29" s="136">
        <v>3.1</v>
      </c>
      <c r="B29" s="136"/>
      <c r="C29" s="62" t="s">
        <v>545</v>
      </c>
      <c r="D29" s="76" t="s">
        <v>486</v>
      </c>
      <c r="E29" s="76">
        <v>3</v>
      </c>
      <c r="F29" s="48">
        <v>112.61</v>
      </c>
      <c r="G29" s="33">
        <f>E29*F29</f>
        <v>337.83</v>
      </c>
    </row>
    <row r="30" spans="1:7">
      <c r="A30" s="136"/>
      <c r="B30" s="136"/>
      <c r="C30" s="62"/>
      <c r="D30" s="76"/>
      <c r="E30" s="76"/>
      <c r="F30" s="48"/>
      <c r="G30" s="33"/>
    </row>
    <row r="31" spans="1:7">
      <c r="A31" s="169">
        <v>4</v>
      </c>
      <c r="B31" s="169"/>
      <c r="C31" s="170" t="s">
        <v>488</v>
      </c>
      <c r="D31" s="76"/>
      <c r="E31" s="76"/>
      <c r="F31" s="48"/>
      <c r="G31" s="33"/>
    </row>
    <row r="32" spans="1:7" ht="27.6">
      <c r="A32" s="136"/>
      <c r="B32" s="136"/>
      <c r="C32" s="62" t="s">
        <v>489</v>
      </c>
      <c r="D32" s="76"/>
      <c r="E32" s="76"/>
      <c r="F32" s="48"/>
      <c r="G32" s="33"/>
    </row>
    <row r="33" spans="1:7">
      <c r="A33" s="136"/>
      <c r="B33" s="136"/>
      <c r="C33" s="171"/>
      <c r="D33" s="76"/>
      <c r="E33" s="76"/>
      <c r="F33" s="48"/>
      <c r="G33" s="33"/>
    </row>
    <row r="34" spans="1:7">
      <c r="A34" s="136">
        <v>4.0999999999999996</v>
      </c>
      <c r="B34" s="136"/>
      <c r="C34" s="62" t="s">
        <v>490</v>
      </c>
      <c r="D34" s="76" t="s">
        <v>486</v>
      </c>
      <c r="E34" s="76">
        <v>4</v>
      </c>
      <c r="F34" s="48">
        <v>72.789999999999992</v>
      </c>
      <c r="G34" s="33">
        <f t="shared" ref="G34:G37" si="0">E34*F34</f>
        <v>291.15999999999997</v>
      </c>
    </row>
    <row r="35" spans="1:7">
      <c r="A35" s="136">
        <v>4.2</v>
      </c>
      <c r="B35" s="136"/>
      <c r="C35" s="62" t="s">
        <v>546</v>
      </c>
      <c r="D35" s="76" t="s">
        <v>486</v>
      </c>
      <c r="E35" s="76">
        <v>6</v>
      </c>
      <c r="F35" s="48">
        <v>64.3</v>
      </c>
      <c r="G35" s="33">
        <f t="shared" si="0"/>
        <v>385.79999999999995</v>
      </c>
    </row>
    <row r="36" spans="1:7">
      <c r="A36" s="136">
        <v>4.3</v>
      </c>
      <c r="B36" s="136"/>
      <c r="C36" s="62" t="s">
        <v>547</v>
      </c>
      <c r="D36" s="76" t="s">
        <v>486</v>
      </c>
      <c r="E36" s="76">
        <v>6</v>
      </c>
      <c r="F36" s="48">
        <v>74.72999999999999</v>
      </c>
      <c r="G36" s="33">
        <f t="shared" si="0"/>
        <v>448.37999999999994</v>
      </c>
    </row>
    <row r="37" spans="1:7">
      <c r="A37" s="136">
        <v>4.4000000000000004</v>
      </c>
      <c r="B37" s="136"/>
      <c r="C37" s="62" t="s">
        <v>491</v>
      </c>
      <c r="D37" s="76" t="s">
        <v>486</v>
      </c>
      <c r="E37" s="76">
        <v>6</v>
      </c>
      <c r="F37" s="48">
        <v>45.45</v>
      </c>
      <c r="G37" s="33">
        <f t="shared" si="0"/>
        <v>272.70000000000005</v>
      </c>
    </row>
    <row r="38" spans="1:7">
      <c r="A38" s="136"/>
      <c r="B38" s="136"/>
      <c r="C38" s="62"/>
      <c r="D38" s="76"/>
      <c r="E38" s="76"/>
      <c r="F38" s="48"/>
      <c r="G38" s="33"/>
    </row>
    <row r="39" spans="1:7">
      <c r="A39" s="136"/>
      <c r="B39" s="136"/>
      <c r="C39" s="62"/>
      <c r="D39" s="76"/>
      <c r="E39" s="76"/>
      <c r="F39" s="48"/>
      <c r="G39" s="33"/>
    </row>
    <row r="40" spans="1:7">
      <c r="A40" s="169">
        <v>5</v>
      </c>
      <c r="B40" s="169"/>
      <c r="C40" s="171" t="s">
        <v>492</v>
      </c>
      <c r="D40" s="76"/>
      <c r="E40" s="76"/>
      <c r="F40" s="48"/>
      <c r="G40" s="33"/>
    </row>
    <row r="41" spans="1:7">
      <c r="A41" s="136"/>
      <c r="B41" s="136"/>
      <c r="C41" s="62" t="s">
        <v>493</v>
      </c>
      <c r="D41" s="76"/>
      <c r="E41" s="76"/>
      <c r="F41" s="48"/>
      <c r="G41" s="33"/>
    </row>
    <row r="42" spans="1:7">
      <c r="A42" s="136"/>
      <c r="B42" s="136"/>
      <c r="C42" s="62" t="s">
        <v>548</v>
      </c>
      <c r="D42" s="76"/>
      <c r="E42" s="76"/>
      <c r="F42" s="48"/>
      <c r="G42" s="33"/>
    </row>
    <row r="43" spans="1:7">
      <c r="A43" s="136"/>
      <c r="B43" s="136"/>
      <c r="C43" s="62"/>
      <c r="D43" s="76"/>
      <c r="E43" s="76"/>
      <c r="F43" s="48"/>
      <c r="G43" s="33"/>
    </row>
    <row r="44" spans="1:7">
      <c r="A44" s="136">
        <v>5.0999999999999996</v>
      </c>
      <c r="B44" s="136"/>
      <c r="C44" s="62" t="s">
        <v>549</v>
      </c>
      <c r="D44" s="76" t="s">
        <v>486</v>
      </c>
      <c r="E44" s="76">
        <v>6</v>
      </c>
      <c r="F44" s="48">
        <v>1600</v>
      </c>
      <c r="G44" s="33">
        <f t="shared" ref="G44:G49" si="1">E44*F44</f>
        <v>9600</v>
      </c>
    </row>
    <row r="45" spans="1:7">
      <c r="A45" s="136">
        <v>5.2</v>
      </c>
      <c r="B45" s="136"/>
      <c r="C45" s="62" t="s">
        <v>550</v>
      </c>
      <c r="D45" s="76" t="s">
        <v>486</v>
      </c>
      <c r="E45" s="76">
        <v>3</v>
      </c>
      <c r="F45" s="48">
        <v>800</v>
      </c>
      <c r="G45" s="33">
        <f t="shared" si="1"/>
        <v>2400</v>
      </c>
    </row>
    <row r="46" spans="1:7">
      <c r="A46" s="136">
        <v>5.3</v>
      </c>
      <c r="B46" s="136"/>
      <c r="C46" s="62" t="s">
        <v>551</v>
      </c>
      <c r="D46" s="76" t="s">
        <v>486</v>
      </c>
      <c r="E46" s="76">
        <v>6</v>
      </c>
      <c r="F46" s="48">
        <v>600</v>
      </c>
      <c r="G46" s="33">
        <f t="shared" si="1"/>
        <v>3600</v>
      </c>
    </row>
    <row r="47" spans="1:7">
      <c r="A47" s="136">
        <v>5.4</v>
      </c>
      <c r="B47" s="136"/>
      <c r="C47" s="62" t="s">
        <v>499</v>
      </c>
      <c r="D47" s="76" t="s">
        <v>486</v>
      </c>
      <c r="E47" s="76">
        <v>5</v>
      </c>
      <c r="F47" s="48">
        <v>45.59</v>
      </c>
      <c r="G47" s="33">
        <f t="shared" si="1"/>
        <v>227.95000000000002</v>
      </c>
    </row>
    <row r="48" spans="1:7">
      <c r="A48" s="172">
        <v>5.5</v>
      </c>
      <c r="B48" s="172"/>
      <c r="C48" s="62" t="s">
        <v>552</v>
      </c>
      <c r="D48" s="76" t="s">
        <v>486</v>
      </c>
      <c r="E48" s="76">
        <v>1</v>
      </c>
      <c r="F48" s="48">
        <v>95.15</v>
      </c>
      <c r="G48" s="33">
        <f t="shared" si="1"/>
        <v>95.15</v>
      </c>
    </row>
    <row r="49" spans="1:7">
      <c r="A49" s="172">
        <v>5.6</v>
      </c>
      <c r="B49" s="172"/>
      <c r="C49" s="62" t="s">
        <v>498</v>
      </c>
      <c r="D49" s="76" t="s">
        <v>486</v>
      </c>
      <c r="E49" s="76">
        <v>1</v>
      </c>
      <c r="F49" s="48">
        <v>363.5</v>
      </c>
      <c r="G49" s="33">
        <f t="shared" si="1"/>
        <v>363.5</v>
      </c>
    </row>
    <row r="50" spans="1:7">
      <c r="A50" s="136"/>
      <c r="B50" s="136"/>
      <c r="C50" s="171"/>
      <c r="D50" s="76"/>
      <c r="E50" s="76"/>
      <c r="F50" s="48"/>
      <c r="G50" s="33"/>
    </row>
    <row r="51" spans="1:7">
      <c r="A51" s="169">
        <v>6</v>
      </c>
      <c r="B51" s="169"/>
      <c r="C51" s="171" t="s">
        <v>500</v>
      </c>
      <c r="D51" s="76"/>
      <c r="E51" s="76"/>
      <c r="F51" s="48"/>
      <c r="G51" s="33"/>
    </row>
    <row r="52" spans="1:7">
      <c r="A52" s="136"/>
      <c r="B52" s="136"/>
      <c r="C52" s="62" t="s">
        <v>501</v>
      </c>
      <c r="D52" s="76"/>
      <c r="E52" s="76"/>
      <c r="F52" s="48"/>
      <c r="G52" s="33"/>
    </row>
    <row r="53" spans="1:7">
      <c r="A53" s="136"/>
      <c r="B53" s="136"/>
      <c r="C53" s="171"/>
      <c r="D53" s="76"/>
      <c r="E53" s="76"/>
      <c r="F53" s="48"/>
      <c r="G53" s="33"/>
    </row>
    <row r="54" spans="1:7">
      <c r="A54" s="172">
        <v>6.1</v>
      </c>
      <c r="B54" s="172"/>
      <c r="C54" s="62" t="s">
        <v>502</v>
      </c>
      <c r="D54" s="76" t="s">
        <v>486</v>
      </c>
      <c r="E54" s="76">
        <v>20</v>
      </c>
      <c r="F54" s="48">
        <v>15.95</v>
      </c>
      <c r="G54" s="33">
        <f t="shared" ref="G54:G56" si="2">E54*F54</f>
        <v>319</v>
      </c>
    </row>
    <row r="55" spans="1:7">
      <c r="A55" s="172">
        <v>6.2</v>
      </c>
      <c r="B55" s="172"/>
      <c r="C55" s="62" t="s">
        <v>503</v>
      </c>
      <c r="D55" s="76" t="s">
        <v>486</v>
      </c>
      <c r="E55" s="76">
        <v>10</v>
      </c>
      <c r="F55" s="48">
        <v>20.96</v>
      </c>
      <c r="G55" s="33">
        <f t="shared" si="2"/>
        <v>209.60000000000002</v>
      </c>
    </row>
    <row r="56" spans="1:7">
      <c r="A56" s="172">
        <v>6.3</v>
      </c>
      <c r="B56" s="172"/>
      <c r="C56" s="62" t="s">
        <v>504</v>
      </c>
      <c r="D56" s="76" t="s">
        <v>486</v>
      </c>
      <c r="E56" s="76">
        <v>4</v>
      </c>
      <c r="F56" s="48">
        <v>25.13</v>
      </c>
      <c r="G56" s="33">
        <f t="shared" si="2"/>
        <v>100.52</v>
      </c>
    </row>
    <row r="57" spans="1:7">
      <c r="A57" s="136"/>
      <c r="B57" s="136"/>
      <c r="C57" s="62"/>
      <c r="D57" s="76"/>
      <c r="E57" s="76"/>
      <c r="F57" s="48"/>
      <c r="G57" s="33"/>
    </row>
    <row r="58" spans="1:7">
      <c r="A58" s="169">
        <v>7</v>
      </c>
      <c r="B58" s="169"/>
      <c r="C58" s="171" t="s">
        <v>505</v>
      </c>
      <c r="D58" s="76"/>
      <c r="E58" s="76"/>
      <c r="F58" s="48"/>
      <c r="G58" s="33"/>
    </row>
    <row r="59" spans="1:7" ht="27.6">
      <c r="A59" s="136"/>
      <c r="B59" s="136"/>
      <c r="C59" s="62" t="s">
        <v>506</v>
      </c>
      <c r="D59" s="76"/>
      <c r="E59" s="76"/>
      <c r="F59" s="48"/>
      <c r="G59" s="33"/>
    </row>
    <row r="60" spans="1:7">
      <c r="A60" s="136"/>
      <c r="B60" s="136"/>
      <c r="C60" s="171"/>
      <c r="D60" s="76"/>
      <c r="E60" s="76"/>
      <c r="F60" s="48"/>
      <c r="G60" s="33"/>
    </row>
    <row r="61" spans="1:7">
      <c r="A61" s="172">
        <v>7.1</v>
      </c>
      <c r="B61" s="172"/>
      <c r="C61" s="62" t="s">
        <v>507</v>
      </c>
      <c r="D61" s="76" t="s">
        <v>136</v>
      </c>
      <c r="E61" s="76">
        <v>250</v>
      </c>
      <c r="F61" s="48">
        <v>4.8599999999999994</v>
      </c>
      <c r="G61" s="33">
        <f t="shared" ref="G61:G62" si="3">E61*F61</f>
        <v>1214.9999999999998</v>
      </c>
    </row>
    <row r="62" spans="1:7">
      <c r="A62" s="172">
        <v>7.2</v>
      </c>
      <c r="B62" s="172"/>
      <c r="C62" s="62" t="s">
        <v>553</v>
      </c>
      <c r="D62" s="76" t="s">
        <v>136</v>
      </c>
      <c r="E62" s="76">
        <v>250</v>
      </c>
      <c r="F62" s="48">
        <v>6.2200000000000006</v>
      </c>
      <c r="G62" s="33">
        <f t="shared" si="3"/>
        <v>1555.0000000000002</v>
      </c>
    </row>
    <row r="63" spans="1:7">
      <c r="A63" s="136"/>
      <c r="B63" s="136"/>
      <c r="C63" s="62"/>
      <c r="D63" s="76"/>
      <c r="E63" s="76"/>
      <c r="F63" s="48"/>
      <c r="G63" s="33"/>
    </row>
    <row r="64" spans="1:7">
      <c r="A64" s="169">
        <v>8</v>
      </c>
      <c r="B64" s="169"/>
      <c r="C64" s="170" t="s">
        <v>509</v>
      </c>
      <c r="D64" s="76"/>
      <c r="E64" s="76"/>
      <c r="F64" s="48"/>
      <c r="G64" s="33"/>
    </row>
    <row r="65" spans="1:7">
      <c r="A65" s="136"/>
      <c r="B65" s="136"/>
      <c r="C65" s="171"/>
      <c r="D65" s="76"/>
      <c r="E65" s="76"/>
      <c r="F65" s="48"/>
      <c r="G65" s="33"/>
    </row>
    <row r="66" spans="1:7">
      <c r="A66" s="136">
        <v>8.1</v>
      </c>
      <c r="B66" s="136"/>
      <c r="C66" s="62" t="s">
        <v>510</v>
      </c>
      <c r="D66" s="76" t="s">
        <v>136</v>
      </c>
      <c r="E66" s="76">
        <v>0</v>
      </c>
      <c r="F66" s="48">
        <v>40.85</v>
      </c>
      <c r="G66" s="33">
        <f t="shared" ref="G66:G67" si="4">E66*F66</f>
        <v>0</v>
      </c>
    </row>
    <row r="67" spans="1:7">
      <c r="A67" s="136">
        <v>8.1999999999999993</v>
      </c>
      <c r="B67" s="136"/>
      <c r="C67" s="62" t="s">
        <v>511</v>
      </c>
      <c r="D67" s="76" t="s">
        <v>136</v>
      </c>
      <c r="E67" s="76">
        <v>20</v>
      </c>
      <c r="F67" s="48">
        <v>40.85</v>
      </c>
      <c r="G67" s="33">
        <f t="shared" si="4"/>
        <v>817</v>
      </c>
    </row>
    <row r="68" spans="1:7">
      <c r="A68" s="136"/>
      <c r="B68" s="136"/>
      <c r="C68" s="171"/>
      <c r="D68" s="76"/>
      <c r="E68" s="76"/>
      <c r="F68" s="48"/>
      <c r="G68" s="33"/>
    </row>
    <row r="69" spans="1:7">
      <c r="A69" s="172"/>
      <c r="B69" s="172"/>
      <c r="C69" s="62"/>
      <c r="D69" s="76"/>
      <c r="E69" s="76"/>
      <c r="F69" s="48"/>
      <c r="G69" s="33"/>
    </row>
    <row r="70" spans="1:7" ht="14.4" thickBot="1">
      <c r="A70" s="172"/>
      <c r="B70" s="172"/>
      <c r="C70" s="62"/>
      <c r="D70" s="76"/>
      <c r="E70" s="76"/>
      <c r="F70" s="48"/>
      <c r="G70" s="33"/>
    </row>
    <row r="71" spans="1:7" ht="14.4" thickBot="1">
      <c r="A71" s="2137" t="s">
        <v>48</v>
      </c>
      <c r="B71" s="2138"/>
      <c r="C71" s="2138"/>
      <c r="D71" s="2138"/>
      <c r="E71" s="2141"/>
      <c r="F71" s="50"/>
      <c r="G71" s="17">
        <f>SUM(G9:G70)</f>
        <v>38365.07</v>
      </c>
    </row>
    <row r="72" spans="1:7" ht="14.4" thickBot="1"/>
    <row r="73" spans="1:7">
      <c r="A73" s="127" t="s">
        <v>0</v>
      </c>
      <c r="B73" s="127" t="s">
        <v>1</v>
      </c>
      <c r="C73" s="2253" t="s">
        <v>2</v>
      </c>
      <c r="D73" s="2253" t="s">
        <v>3</v>
      </c>
      <c r="E73" s="2255" t="s">
        <v>4</v>
      </c>
      <c r="F73" s="2257" t="s">
        <v>5</v>
      </c>
      <c r="G73" s="2251" t="s">
        <v>6</v>
      </c>
    </row>
    <row r="74" spans="1:7" ht="14.4" thickBot="1">
      <c r="A74" s="128" t="s">
        <v>7</v>
      </c>
      <c r="B74" s="128" t="s">
        <v>8</v>
      </c>
      <c r="C74" s="2254"/>
      <c r="D74" s="2254"/>
      <c r="E74" s="2256"/>
      <c r="F74" s="2258"/>
      <c r="G74" s="2252"/>
    </row>
    <row r="75" spans="1:7" ht="14.4" thickBot="1">
      <c r="A75" s="2145" t="s">
        <v>49</v>
      </c>
      <c r="B75" s="2145"/>
      <c r="C75" s="2145"/>
      <c r="D75" s="2145"/>
      <c r="E75" s="2145"/>
      <c r="F75" s="2145"/>
      <c r="G75" s="126">
        <f>G71</f>
        <v>38365.07</v>
      </c>
    </row>
    <row r="76" spans="1:7">
      <c r="A76" s="172"/>
      <c r="B76" s="172"/>
      <c r="C76" s="62"/>
      <c r="D76" s="76"/>
      <c r="E76" s="76"/>
      <c r="F76" s="48"/>
      <c r="G76" s="33"/>
    </row>
    <row r="77" spans="1:7">
      <c r="A77" s="172"/>
      <c r="B77" s="172"/>
      <c r="C77" s="62"/>
      <c r="D77" s="76"/>
      <c r="E77" s="76"/>
      <c r="F77" s="48"/>
      <c r="G77" s="33"/>
    </row>
    <row r="78" spans="1:7">
      <c r="A78" s="169">
        <v>9</v>
      </c>
      <c r="B78" s="169"/>
      <c r="C78" s="171" t="s">
        <v>513</v>
      </c>
      <c r="D78" s="76"/>
      <c r="E78" s="76"/>
      <c r="F78" s="48"/>
      <c r="G78" s="33"/>
    </row>
    <row r="79" spans="1:7" ht="27.6">
      <c r="A79" s="136"/>
      <c r="B79" s="136"/>
      <c r="C79" s="62" t="s">
        <v>514</v>
      </c>
      <c r="D79" s="76"/>
      <c r="E79" s="76"/>
      <c r="F79" s="48"/>
      <c r="G79" s="33"/>
    </row>
    <row r="80" spans="1:7">
      <c r="A80" s="136"/>
      <c r="B80" s="136"/>
      <c r="C80" s="171"/>
      <c r="D80" s="76"/>
      <c r="E80" s="76"/>
      <c r="F80" s="48"/>
      <c r="G80" s="33"/>
    </row>
    <row r="81" spans="1:7" ht="16.2">
      <c r="A81" s="172">
        <v>9.1</v>
      </c>
      <c r="B81" s="172"/>
      <c r="C81" s="62" t="s">
        <v>529</v>
      </c>
      <c r="D81" s="76" t="s">
        <v>136</v>
      </c>
      <c r="E81" s="76">
        <v>500</v>
      </c>
      <c r="F81" s="48">
        <v>3.0700000000000003</v>
      </c>
      <c r="G81" s="33">
        <f>E81*F81</f>
        <v>1535.0000000000002</v>
      </c>
    </row>
    <row r="82" spans="1:7" ht="16.2">
      <c r="A82" s="172">
        <v>9.1999999999999993</v>
      </c>
      <c r="B82" s="172"/>
      <c r="C82" s="62" t="s">
        <v>530</v>
      </c>
      <c r="D82" s="76" t="s">
        <v>136</v>
      </c>
      <c r="E82" s="76">
        <v>500</v>
      </c>
      <c r="F82" s="48">
        <v>4.9300000000000006</v>
      </c>
      <c r="G82" s="33">
        <f>E82*F82</f>
        <v>2465.0000000000005</v>
      </c>
    </row>
    <row r="83" spans="1:7" ht="16.2">
      <c r="A83" s="172">
        <v>9.3000000000000007</v>
      </c>
      <c r="B83" s="172"/>
      <c r="C83" s="62" t="s">
        <v>531</v>
      </c>
      <c r="D83" s="76" t="s">
        <v>136</v>
      </c>
      <c r="E83" s="76">
        <v>500</v>
      </c>
      <c r="F83" s="48">
        <v>3.0700000000000003</v>
      </c>
      <c r="G83" s="33">
        <f>E83*F83</f>
        <v>1535.0000000000002</v>
      </c>
    </row>
    <row r="84" spans="1:7">
      <c r="A84" s="136"/>
      <c r="B84" s="136"/>
      <c r="C84" s="171"/>
      <c r="D84" s="76"/>
      <c r="E84" s="76"/>
      <c r="F84" s="48"/>
      <c r="G84" s="33"/>
    </row>
    <row r="85" spans="1:7">
      <c r="A85" s="136"/>
      <c r="B85" s="136"/>
      <c r="C85" s="62"/>
      <c r="D85" s="76"/>
      <c r="E85" s="76"/>
      <c r="F85" s="48"/>
      <c r="G85" s="33"/>
    </row>
    <row r="86" spans="1:7">
      <c r="A86" s="169">
        <v>10</v>
      </c>
      <c r="B86" s="169"/>
      <c r="C86" s="171" t="s">
        <v>515</v>
      </c>
      <c r="D86" s="76"/>
      <c r="E86" s="76"/>
      <c r="F86" s="48"/>
      <c r="G86" s="33"/>
    </row>
    <row r="87" spans="1:7" ht="27.6">
      <c r="A87" s="136"/>
      <c r="B87" s="136"/>
      <c r="C87" s="62" t="s">
        <v>516</v>
      </c>
      <c r="D87" s="76"/>
      <c r="E87" s="76"/>
      <c r="F87" s="48"/>
      <c r="G87" s="33"/>
    </row>
    <row r="88" spans="1:7">
      <c r="A88" s="136"/>
      <c r="B88" s="136"/>
      <c r="C88" s="62"/>
      <c r="D88" s="76"/>
      <c r="E88" s="76"/>
      <c r="F88" s="48"/>
      <c r="G88" s="33"/>
    </row>
    <row r="89" spans="1:7">
      <c r="A89" s="172">
        <v>10.1</v>
      </c>
      <c r="B89" s="172"/>
      <c r="C89" s="62" t="s">
        <v>517</v>
      </c>
      <c r="D89" s="76" t="s">
        <v>136</v>
      </c>
      <c r="E89" s="76">
        <v>100</v>
      </c>
      <c r="F89" s="48">
        <v>1.1000000000000001</v>
      </c>
      <c r="G89" s="33">
        <f>E89*F89</f>
        <v>110.00000000000001</v>
      </c>
    </row>
    <row r="90" spans="1:7">
      <c r="A90" s="136"/>
      <c r="B90" s="136"/>
      <c r="C90" s="171"/>
      <c r="D90" s="76"/>
      <c r="E90" s="76"/>
      <c r="F90" s="48"/>
      <c r="G90" s="33"/>
    </row>
    <row r="91" spans="1:7">
      <c r="A91" s="169">
        <v>11</v>
      </c>
      <c r="B91" s="169"/>
      <c r="C91" s="171" t="s">
        <v>518</v>
      </c>
      <c r="D91" s="76"/>
      <c r="E91" s="76"/>
      <c r="F91" s="48"/>
      <c r="G91" s="33"/>
    </row>
    <row r="92" spans="1:7" ht="41.4">
      <c r="A92" s="136"/>
      <c r="B92" s="136"/>
      <c r="C92" s="62" t="s">
        <v>554</v>
      </c>
      <c r="D92" s="76"/>
      <c r="E92" s="76"/>
      <c r="F92" s="48"/>
      <c r="G92" s="33"/>
    </row>
    <row r="93" spans="1:7">
      <c r="A93" s="136"/>
      <c r="B93" s="136"/>
      <c r="C93" s="171"/>
      <c r="D93" s="76"/>
      <c r="E93" s="76"/>
      <c r="F93" s="76"/>
      <c r="G93" s="84"/>
    </row>
    <row r="94" spans="1:7">
      <c r="A94" s="172">
        <v>11.1</v>
      </c>
      <c r="B94" s="172"/>
      <c r="C94" s="62" t="s">
        <v>555</v>
      </c>
      <c r="D94" s="76" t="s">
        <v>486</v>
      </c>
      <c r="E94" s="76">
        <v>6</v>
      </c>
      <c r="F94" s="48">
        <v>200</v>
      </c>
      <c r="G94" s="33">
        <f t="shared" ref="G94:G95" si="5">E94*F94</f>
        <v>1200</v>
      </c>
    </row>
    <row r="95" spans="1:7">
      <c r="A95" s="172">
        <v>11.2</v>
      </c>
      <c r="B95" s="172"/>
      <c r="C95" s="62" t="s">
        <v>556</v>
      </c>
      <c r="D95" s="76" t="s">
        <v>486</v>
      </c>
      <c r="E95" s="76">
        <v>6</v>
      </c>
      <c r="F95" s="48">
        <v>200</v>
      </c>
      <c r="G95" s="33">
        <f t="shared" si="5"/>
        <v>1200</v>
      </c>
    </row>
    <row r="96" spans="1:7">
      <c r="A96" s="136"/>
      <c r="B96" s="136"/>
      <c r="C96" s="62"/>
      <c r="D96" s="76"/>
      <c r="E96" s="76"/>
      <c r="F96" s="48"/>
      <c r="G96" s="86"/>
    </row>
    <row r="97" spans="1:7">
      <c r="A97" s="169">
        <v>12</v>
      </c>
      <c r="B97" s="169"/>
      <c r="C97" s="171" t="s">
        <v>521</v>
      </c>
      <c r="D97" s="76"/>
      <c r="E97" s="76"/>
      <c r="F97" s="77"/>
      <c r="G97" s="86"/>
    </row>
    <row r="98" spans="1:7" ht="27.6">
      <c r="A98" s="136"/>
      <c r="B98" s="136"/>
      <c r="C98" s="62" t="s">
        <v>522</v>
      </c>
      <c r="D98" s="76"/>
      <c r="E98" s="76"/>
      <c r="F98" s="76"/>
      <c r="G98" s="86"/>
    </row>
    <row r="99" spans="1:7">
      <c r="A99" s="136"/>
      <c r="B99" s="136"/>
      <c r="C99" s="171"/>
      <c r="D99" s="76"/>
      <c r="E99" s="76"/>
      <c r="F99" s="78"/>
      <c r="G99" s="86"/>
    </row>
    <row r="100" spans="1:7">
      <c r="A100" s="172">
        <v>12.1</v>
      </c>
      <c r="B100" s="172"/>
      <c r="C100" s="62" t="s">
        <v>523</v>
      </c>
      <c r="D100" s="76" t="s">
        <v>524</v>
      </c>
      <c r="E100" s="76">
        <v>1</v>
      </c>
      <c r="F100" s="81">
        <v>7500</v>
      </c>
      <c r="G100" s="33">
        <f>E100*F100</f>
        <v>7500</v>
      </c>
    </row>
    <row r="101" spans="1:7">
      <c r="A101" s="172"/>
      <c r="B101" s="172"/>
      <c r="C101" s="62"/>
      <c r="D101" s="76"/>
      <c r="E101" s="76"/>
      <c r="F101" s="77"/>
      <c r="G101" s="86"/>
    </row>
    <row r="102" spans="1:7">
      <c r="A102" s="169">
        <v>13</v>
      </c>
      <c r="B102" s="169"/>
      <c r="C102" s="171" t="s">
        <v>525</v>
      </c>
      <c r="D102" s="76"/>
      <c r="E102" s="76"/>
      <c r="F102" s="77"/>
      <c r="G102" s="86"/>
    </row>
    <row r="103" spans="1:7">
      <c r="A103" s="136"/>
      <c r="B103" s="136"/>
      <c r="C103" s="62" t="s">
        <v>526</v>
      </c>
      <c r="D103" s="76"/>
      <c r="E103" s="76"/>
      <c r="F103" s="78"/>
      <c r="G103" s="86"/>
    </row>
    <row r="104" spans="1:7">
      <c r="A104" s="136"/>
      <c r="B104" s="136"/>
      <c r="C104" s="171"/>
      <c r="D104" s="76"/>
      <c r="E104" s="76"/>
      <c r="F104" s="78"/>
      <c r="G104" s="86"/>
    </row>
    <row r="105" spans="1:7" ht="27.6">
      <c r="A105" s="172">
        <v>13.1</v>
      </c>
      <c r="B105" s="172"/>
      <c r="C105" s="62" t="s">
        <v>527</v>
      </c>
      <c r="D105" s="76" t="s">
        <v>524</v>
      </c>
      <c r="E105" s="76">
        <v>1</v>
      </c>
      <c r="F105" s="6">
        <v>1500</v>
      </c>
      <c r="G105" s="33">
        <f>E105*F105</f>
        <v>1500</v>
      </c>
    </row>
    <row r="106" spans="1:7">
      <c r="A106" s="172"/>
      <c r="B106" s="172"/>
      <c r="C106" s="62"/>
      <c r="D106" s="76"/>
      <c r="E106" s="76"/>
      <c r="F106" s="6"/>
      <c r="G106" s="33"/>
    </row>
    <row r="107" spans="1:7">
      <c r="A107" s="172"/>
      <c r="B107" s="172"/>
      <c r="C107" s="62"/>
      <c r="D107" s="76"/>
      <c r="E107" s="76"/>
      <c r="F107" s="6"/>
      <c r="G107" s="33"/>
    </row>
    <row r="108" spans="1:7">
      <c r="A108" s="172"/>
      <c r="B108" s="172"/>
      <c r="C108" s="62"/>
      <c r="D108" s="76"/>
      <c r="E108" s="76"/>
      <c r="F108" s="6"/>
      <c r="G108" s="33"/>
    </row>
    <row r="109" spans="1:7">
      <c r="A109" s="172"/>
      <c r="B109" s="172"/>
      <c r="C109" s="62"/>
      <c r="D109" s="76"/>
      <c r="E109" s="76"/>
      <c r="F109" s="6"/>
      <c r="G109" s="33"/>
    </row>
    <row r="110" spans="1:7">
      <c r="A110" s="172"/>
      <c r="B110" s="172"/>
      <c r="C110" s="62"/>
      <c r="D110" s="76"/>
      <c r="E110" s="76"/>
      <c r="F110" s="6"/>
      <c r="G110" s="33"/>
    </row>
    <row r="111" spans="1:7">
      <c r="A111" s="172"/>
      <c r="B111" s="172"/>
      <c r="C111" s="62"/>
      <c r="D111" s="76"/>
      <c r="E111" s="76"/>
      <c r="F111" s="6"/>
      <c r="G111" s="33"/>
    </row>
    <row r="112" spans="1:7">
      <c r="A112" s="172"/>
      <c r="B112" s="172"/>
      <c r="C112" s="62"/>
      <c r="D112" s="76"/>
      <c r="E112" s="76"/>
      <c r="F112" s="6"/>
      <c r="G112" s="33"/>
    </row>
    <row r="113" spans="1:7">
      <c r="A113" s="172"/>
      <c r="B113" s="172"/>
      <c r="C113" s="62"/>
      <c r="D113" s="76"/>
      <c r="E113" s="76"/>
      <c r="F113" s="6"/>
      <c r="G113" s="33"/>
    </row>
    <row r="114" spans="1:7">
      <c r="A114" s="172"/>
      <c r="B114" s="172"/>
      <c r="C114" s="62"/>
      <c r="D114" s="76"/>
      <c r="E114" s="76"/>
      <c r="F114" s="6"/>
      <c r="G114" s="33"/>
    </row>
    <row r="115" spans="1:7">
      <c r="A115" s="172"/>
      <c r="B115" s="172"/>
      <c r="C115" s="62"/>
      <c r="D115" s="76"/>
      <c r="E115" s="76"/>
      <c r="F115" s="6"/>
      <c r="G115" s="33"/>
    </row>
    <row r="116" spans="1:7">
      <c r="A116" s="172"/>
      <c r="B116" s="172"/>
      <c r="C116" s="62"/>
      <c r="D116" s="76"/>
      <c r="E116" s="76"/>
      <c r="F116" s="6"/>
      <c r="G116" s="33"/>
    </row>
    <row r="117" spans="1:7">
      <c r="A117" s="172"/>
      <c r="B117" s="172"/>
      <c r="C117" s="62"/>
      <c r="D117" s="76"/>
      <c r="E117" s="76"/>
      <c r="F117" s="6"/>
      <c r="G117" s="33"/>
    </row>
    <row r="118" spans="1:7">
      <c r="A118" s="172"/>
      <c r="B118" s="172"/>
      <c r="C118" s="62"/>
      <c r="D118" s="76"/>
      <c r="E118" s="76"/>
      <c r="F118" s="6"/>
      <c r="G118" s="33"/>
    </row>
    <row r="119" spans="1:7">
      <c r="A119" s="172"/>
      <c r="B119" s="172"/>
      <c r="C119" s="62"/>
      <c r="D119" s="76"/>
      <c r="E119" s="76"/>
      <c r="F119" s="6"/>
      <c r="G119" s="33"/>
    </row>
    <row r="120" spans="1:7">
      <c r="A120" s="172"/>
      <c r="B120" s="172"/>
      <c r="C120" s="62"/>
      <c r="D120" s="76"/>
      <c r="E120" s="76"/>
      <c r="F120" s="6"/>
      <c r="G120" s="33"/>
    </row>
    <row r="121" spans="1:7">
      <c r="A121" s="172"/>
      <c r="B121" s="172"/>
      <c r="C121" s="62"/>
      <c r="D121" s="76"/>
      <c r="E121" s="76"/>
      <c r="F121" s="6"/>
      <c r="G121" s="33"/>
    </row>
    <row r="122" spans="1:7">
      <c r="A122" s="172"/>
      <c r="B122" s="172"/>
      <c r="C122" s="62"/>
      <c r="D122" s="76"/>
      <c r="E122" s="76"/>
      <c r="F122" s="6"/>
      <c r="G122" s="33"/>
    </row>
    <row r="123" spans="1:7">
      <c r="A123" s="172"/>
      <c r="B123" s="172"/>
      <c r="C123" s="62"/>
      <c r="D123" s="76"/>
      <c r="E123" s="76"/>
      <c r="F123" s="6"/>
      <c r="G123" s="33"/>
    </row>
    <row r="124" spans="1:7">
      <c r="A124" s="172"/>
      <c r="B124" s="172"/>
      <c r="C124" s="62"/>
      <c r="D124" s="76"/>
      <c r="E124" s="76"/>
      <c r="F124" s="6"/>
      <c r="G124" s="33"/>
    </row>
    <row r="125" spans="1:7">
      <c r="A125" s="172"/>
      <c r="B125" s="172"/>
      <c r="C125" s="62"/>
      <c r="D125" s="76"/>
      <c r="E125" s="76"/>
      <c r="F125" s="6"/>
      <c r="G125" s="33"/>
    </row>
    <row r="126" spans="1:7">
      <c r="A126" s="172"/>
      <c r="B126" s="172"/>
      <c r="C126" s="62"/>
      <c r="D126" s="76"/>
      <c r="E126" s="76"/>
      <c r="F126" s="6"/>
      <c r="G126" s="33"/>
    </row>
    <row r="127" spans="1:7">
      <c r="A127" s="172"/>
      <c r="B127" s="172"/>
      <c r="C127" s="62"/>
      <c r="D127" s="76"/>
      <c r="E127" s="76"/>
      <c r="F127" s="6"/>
      <c r="G127" s="33"/>
    </row>
    <row r="128" spans="1:7" ht="14.4" thickBot="1">
      <c r="A128" s="141"/>
      <c r="B128" s="146"/>
      <c r="C128" s="142"/>
      <c r="D128" s="141"/>
      <c r="E128" s="143"/>
      <c r="F128" s="143"/>
      <c r="G128" s="148"/>
    </row>
    <row r="129" spans="1:7" ht="14.4" thickBot="1">
      <c r="A129" s="2137" t="s">
        <v>139</v>
      </c>
      <c r="B129" s="2138"/>
      <c r="C129" s="2138"/>
      <c r="D129" s="2138"/>
      <c r="E129" s="2141"/>
      <c r="F129" s="50"/>
      <c r="G129" s="17">
        <f>SUM(G75:G128)</f>
        <v>55410.07</v>
      </c>
    </row>
  </sheetData>
  <mergeCells count="16">
    <mergeCell ref="G73:G74"/>
    <mergeCell ref="A75:F75"/>
    <mergeCell ref="A129:E129"/>
    <mergeCell ref="A71:E71"/>
    <mergeCell ref="C73:C74"/>
    <mergeCell ref="D73:D74"/>
    <mergeCell ref="E73:E74"/>
    <mergeCell ref="F73:F74"/>
    <mergeCell ref="F7:F8"/>
    <mergeCell ref="G7:G8"/>
    <mergeCell ref="A4:D4"/>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64" fitToHeight="0" orientation="portrait" r:id="rId1"/>
  <headerFooter scaleWithDoc="0" alignWithMargins="0">
    <oddHeader>&amp;C&amp;"Arial Narrow,Regular"&amp;10C39.&amp;P</oddHeader>
    <oddFooter>&amp;L&amp;"Arial Narrow,Regular"Giyani Waste Disposal Site Development</oddFooter>
  </headerFooter>
  <rowBreaks count="1" manualBreakCount="1">
    <brk id="71" max="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view="pageBreakPreview" topLeftCell="A49" zoomScaleNormal="100" zoomScaleSheetLayoutView="100" workbookViewId="0">
      <selection activeCell="A146" sqref="A146:F146"/>
    </sheetView>
  </sheetViews>
  <sheetFormatPr defaultColWidth="9.109375" defaultRowHeight="13.8"/>
  <cols>
    <col min="1" max="1" width="9.109375" style="100"/>
    <col min="2" max="2" width="11.88671875" style="99" customWidth="1"/>
    <col min="3" max="3" width="64.88671875" style="99" customWidth="1"/>
    <col min="4" max="4" width="9.109375" style="100"/>
    <col min="5" max="5" width="12.33203125" style="100" customWidth="1"/>
    <col min="6" max="6" width="13.33203125" style="100" customWidth="1"/>
    <col min="7" max="7" width="15.109375" style="100" customWidth="1"/>
    <col min="8" max="16384" width="9.109375" style="99"/>
  </cols>
  <sheetData>
    <row r="1" spans="1:7">
      <c r="A1" s="130" t="str">
        <f>'1-P&amp;G''s '!A1</f>
        <v>GREATER LETABA MUNICIPALITY</v>
      </c>
      <c r="B1" s="130"/>
      <c r="C1" s="130"/>
      <c r="D1" s="135"/>
      <c r="E1" s="88"/>
      <c r="F1" s="82"/>
      <c r="G1" s="85"/>
    </row>
    <row r="2" spans="1:7">
      <c r="A2" s="130" t="str">
        <f>'1-P&amp;G''s '!A2</f>
        <v>CONTRACT NUMBER: GLM015/2025</v>
      </c>
      <c r="B2" s="130"/>
      <c r="C2" s="130"/>
      <c r="D2" s="130"/>
      <c r="E2" s="89"/>
      <c r="F2" s="98"/>
      <c r="G2" s="85"/>
    </row>
    <row r="3" spans="1:7">
      <c r="A3" s="130" t="str">
        <f>'1-P&amp;G''s '!A3</f>
        <v>CONSTRUCTION OF MAPHALLE LANDFILL SITE PH2</v>
      </c>
      <c r="B3" s="130"/>
      <c r="C3" s="135"/>
      <c r="D3" s="135"/>
      <c r="E3" s="88"/>
      <c r="F3" s="82"/>
      <c r="G3" s="85"/>
    </row>
    <row r="4" spans="1:7">
      <c r="A4" s="2248"/>
      <c r="B4" s="2248"/>
      <c r="C4" s="2248"/>
      <c r="D4" s="2248"/>
      <c r="E4" s="88"/>
      <c r="F4" s="82"/>
      <c r="G4" s="85"/>
    </row>
    <row r="5" spans="1:7">
      <c r="A5" s="130" t="s">
        <v>528</v>
      </c>
      <c r="B5" s="3"/>
      <c r="C5" s="3"/>
      <c r="D5" s="1"/>
      <c r="E5" s="89"/>
      <c r="F5" s="82"/>
      <c r="G5" s="85"/>
    </row>
    <row r="6" spans="1:7" ht="14.4" thickBot="1">
      <c r="A6" s="35"/>
      <c r="B6" s="35"/>
      <c r="C6" s="2"/>
      <c r="D6" s="35"/>
      <c r="E6" s="88"/>
      <c r="F6" s="82"/>
      <c r="G6" s="85"/>
    </row>
    <row r="7" spans="1:7">
      <c r="A7" s="2142" t="s">
        <v>111</v>
      </c>
      <c r="B7" s="2142" t="s">
        <v>112</v>
      </c>
      <c r="C7" s="2139" t="s">
        <v>2</v>
      </c>
      <c r="D7" s="2139" t="s">
        <v>3</v>
      </c>
      <c r="E7" s="2249" t="s">
        <v>4</v>
      </c>
      <c r="F7" s="2241" t="s">
        <v>5</v>
      </c>
      <c r="G7" s="2243" t="s">
        <v>6</v>
      </c>
    </row>
    <row r="8" spans="1:7" ht="14.4" thickBot="1">
      <c r="A8" s="2143"/>
      <c r="B8" s="2143"/>
      <c r="C8" s="2140"/>
      <c r="D8" s="2140"/>
      <c r="E8" s="2250"/>
      <c r="F8" s="2242"/>
      <c r="G8" s="2244"/>
    </row>
    <row r="9" spans="1:7">
      <c r="A9" s="57"/>
      <c r="B9" s="57"/>
      <c r="C9" s="58"/>
      <c r="D9" s="57"/>
      <c r="E9" s="90"/>
      <c r="F9" s="60"/>
      <c r="G9" s="59"/>
    </row>
    <row r="10" spans="1:7">
      <c r="A10" s="39"/>
      <c r="B10" s="4"/>
      <c r="C10" s="36" t="s">
        <v>457</v>
      </c>
      <c r="D10" s="7"/>
      <c r="E10" s="8"/>
      <c r="F10" s="48"/>
      <c r="G10" s="33"/>
    </row>
    <row r="11" spans="1:7">
      <c r="A11" s="7"/>
      <c r="B11" s="7"/>
      <c r="C11" s="5"/>
      <c r="D11" s="7"/>
      <c r="E11" s="8"/>
      <c r="F11" s="48"/>
      <c r="G11" s="33"/>
    </row>
    <row r="12" spans="1:7">
      <c r="A12" s="7"/>
      <c r="B12" s="7"/>
      <c r="C12" s="34"/>
      <c r="D12" s="7"/>
      <c r="E12" s="8"/>
      <c r="F12" s="48"/>
      <c r="G12" s="33"/>
    </row>
    <row r="13" spans="1:7" ht="27.6">
      <c r="A13" s="44">
        <v>1</v>
      </c>
      <c r="B13" s="7"/>
      <c r="C13" s="62" t="s">
        <v>458</v>
      </c>
      <c r="D13" s="139" t="s">
        <v>460</v>
      </c>
      <c r="E13" s="8">
        <v>1</v>
      </c>
      <c r="F13" s="79">
        <v>879098.712446352</v>
      </c>
      <c r="G13" s="33">
        <f>E13*F13</f>
        <v>879098.712446352</v>
      </c>
    </row>
    <row r="14" spans="1:7">
      <c r="A14" s="44"/>
      <c r="B14" s="7"/>
      <c r="C14" s="63"/>
      <c r="D14" s="7"/>
      <c r="E14" s="8"/>
      <c r="F14" s="48"/>
      <c r="G14" s="33"/>
    </row>
    <row r="15" spans="1:7">
      <c r="A15" s="44">
        <v>2</v>
      </c>
      <c r="B15" s="7"/>
      <c r="C15" s="63" t="s">
        <v>206</v>
      </c>
      <c r="D15" s="7" t="s">
        <v>55</v>
      </c>
      <c r="E15" s="8">
        <f>F13</f>
        <v>879098.712446352</v>
      </c>
      <c r="F15" s="48">
        <v>0.08</v>
      </c>
      <c r="G15" s="33">
        <f>F15*E15</f>
        <v>70327.896995708157</v>
      </c>
    </row>
    <row r="16" spans="1:7">
      <c r="A16" s="7"/>
      <c r="B16" s="7"/>
      <c r="C16" s="63" t="s">
        <v>459</v>
      </c>
      <c r="D16" s="7"/>
      <c r="E16" s="8"/>
      <c r="F16" s="48"/>
      <c r="G16" s="33"/>
    </row>
    <row r="17" spans="1:7">
      <c r="A17" s="7"/>
      <c r="B17" s="7"/>
      <c r="C17" s="63"/>
      <c r="D17" s="7"/>
      <c r="E17" s="8"/>
      <c r="F17" s="48"/>
      <c r="G17" s="33"/>
    </row>
    <row r="18" spans="1:7">
      <c r="A18" s="7"/>
      <c r="B18" s="7"/>
      <c r="C18" s="5"/>
      <c r="D18" s="7"/>
      <c r="E18" s="8"/>
      <c r="F18" s="48"/>
      <c r="G18" s="33"/>
    </row>
    <row r="19" spans="1:7">
      <c r="A19" s="7"/>
      <c r="B19" s="7"/>
      <c r="C19" s="5"/>
      <c r="D19" s="25"/>
      <c r="E19" s="8"/>
      <c r="F19" s="48"/>
      <c r="G19" s="33"/>
    </row>
    <row r="20" spans="1:7">
      <c r="A20" s="7"/>
      <c r="B20" s="7"/>
      <c r="C20" s="5"/>
      <c r="D20" s="7"/>
      <c r="E20" s="8"/>
      <c r="F20" s="48"/>
      <c r="G20" s="33"/>
    </row>
    <row r="21" spans="1:7">
      <c r="A21" s="7"/>
      <c r="B21" s="7"/>
      <c r="C21" s="136"/>
      <c r="D21" s="7"/>
      <c r="E21" s="8"/>
      <c r="F21" s="48"/>
      <c r="G21" s="33"/>
    </row>
    <row r="22" spans="1:7">
      <c r="A22" s="7"/>
      <c r="B22" s="7"/>
      <c r="C22" s="5"/>
      <c r="D22" s="7"/>
      <c r="E22" s="8"/>
      <c r="F22" s="48"/>
      <c r="G22" s="33"/>
    </row>
    <row r="23" spans="1:7">
      <c r="A23" s="7"/>
      <c r="B23" s="7"/>
      <c r="C23" s="5"/>
      <c r="D23" s="25"/>
      <c r="E23" s="8"/>
      <c r="F23" s="48"/>
      <c r="G23" s="33"/>
    </row>
    <row r="24" spans="1:7">
      <c r="A24" s="7"/>
      <c r="B24" s="7"/>
      <c r="C24" s="5"/>
      <c r="D24" s="7"/>
      <c r="E24" s="8"/>
      <c r="F24" s="48"/>
      <c r="G24" s="33"/>
    </row>
    <row r="25" spans="1:7">
      <c r="A25" s="7"/>
      <c r="B25" s="7"/>
      <c r="C25" s="5"/>
      <c r="D25" s="25"/>
      <c r="E25" s="8"/>
      <c r="F25" s="48"/>
      <c r="G25" s="33"/>
    </row>
    <row r="26" spans="1:7">
      <c r="A26" s="7"/>
      <c r="B26" s="7"/>
      <c r="C26" s="5"/>
      <c r="D26" s="7"/>
      <c r="E26" s="8"/>
      <c r="F26" s="48"/>
      <c r="G26" s="33"/>
    </row>
    <row r="27" spans="1:7">
      <c r="A27" s="7"/>
      <c r="B27" s="7"/>
      <c r="C27" s="63"/>
      <c r="D27" s="7"/>
      <c r="E27" s="8"/>
      <c r="F27" s="48"/>
      <c r="G27" s="33"/>
    </row>
    <row r="28" spans="1:7">
      <c r="A28" s="7"/>
      <c r="B28" s="7"/>
      <c r="C28" s="36"/>
      <c r="D28" s="7"/>
      <c r="E28" s="8"/>
      <c r="F28" s="48"/>
      <c r="G28" s="33"/>
    </row>
    <row r="29" spans="1:7">
      <c r="A29" s="7"/>
      <c r="B29" s="7"/>
      <c r="C29" s="63"/>
      <c r="D29" s="7"/>
      <c r="E29" s="8"/>
      <c r="F29" s="48"/>
      <c r="G29" s="33"/>
    </row>
    <row r="30" spans="1:7">
      <c r="A30" s="7"/>
      <c r="B30" s="7"/>
      <c r="C30" s="63"/>
      <c r="D30" s="7"/>
      <c r="E30" s="8"/>
      <c r="F30" s="48"/>
      <c r="G30" s="33"/>
    </row>
    <row r="31" spans="1:7">
      <c r="A31" s="7"/>
      <c r="B31" s="7"/>
      <c r="C31" s="36"/>
      <c r="D31" s="7"/>
      <c r="E31" s="8"/>
      <c r="F31" s="48"/>
      <c r="G31" s="33"/>
    </row>
    <row r="32" spans="1:7">
      <c r="A32" s="7"/>
      <c r="B32" s="7"/>
      <c r="C32" s="63"/>
      <c r="D32" s="7"/>
      <c r="E32" s="8"/>
      <c r="F32" s="48"/>
      <c r="G32" s="33"/>
    </row>
    <row r="33" spans="1:7">
      <c r="A33" s="7"/>
      <c r="B33" s="7"/>
      <c r="C33" s="63"/>
      <c r="D33" s="7"/>
      <c r="E33" s="8"/>
      <c r="F33" s="48"/>
      <c r="G33" s="33"/>
    </row>
    <row r="34" spans="1:7">
      <c r="A34" s="7"/>
      <c r="B34" s="7"/>
      <c r="C34" s="63"/>
      <c r="D34" s="7"/>
      <c r="E34" s="8"/>
      <c r="F34" s="48"/>
      <c r="G34" s="33"/>
    </row>
    <row r="35" spans="1:7">
      <c r="A35" s="7"/>
      <c r="B35" s="7"/>
      <c r="C35" s="63"/>
      <c r="D35" s="7"/>
      <c r="E35" s="8"/>
      <c r="F35" s="48"/>
      <c r="G35" s="33"/>
    </row>
    <row r="36" spans="1:7">
      <c r="A36" s="7"/>
      <c r="B36" s="7"/>
      <c r="C36" s="36"/>
      <c r="D36" s="7"/>
      <c r="E36" s="8"/>
      <c r="F36" s="48"/>
      <c r="G36" s="33"/>
    </row>
    <row r="37" spans="1:7">
      <c r="A37" s="7"/>
      <c r="B37" s="7"/>
      <c r="C37" s="63"/>
      <c r="D37" s="7"/>
      <c r="E37" s="8"/>
      <c r="F37" s="48"/>
      <c r="G37" s="33"/>
    </row>
    <row r="38" spans="1:7">
      <c r="A38" s="7"/>
      <c r="B38" s="7"/>
      <c r="C38" s="62"/>
      <c r="D38" s="25"/>
      <c r="E38" s="8"/>
      <c r="F38" s="48"/>
      <c r="G38" s="33"/>
    </row>
    <row r="39" spans="1:7">
      <c r="A39" s="7"/>
      <c r="B39" s="7"/>
      <c r="C39" s="36"/>
      <c r="D39" s="7"/>
      <c r="E39" s="8"/>
      <c r="F39" s="48"/>
      <c r="G39" s="33"/>
    </row>
    <row r="40" spans="1:7">
      <c r="A40" s="7"/>
      <c r="B40" s="7"/>
      <c r="C40" s="63"/>
      <c r="D40" s="25"/>
      <c r="E40" s="8"/>
      <c r="F40" s="48"/>
      <c r="G40" s="33"/>
    </row>
    <row r="41" spans="1:7">
      <c r="A41" s="7"/>
      <c r="B41" s="7"/>
      <c r="C41" s="63"/>
      <c r="D41" s="25"/>
      <c r="E41" s="8"/>
      <c r="F41" s="48"/>
      <c r="G41" s="33"/>
    </row>
    <row r="42" spans="1:7">
      <c r="A42" s="7"/>
      <c r="B42" s="7"/>
      <c r="C42" s="63"/>
      <c r="D42" s="7"/>
      <c r="E42" s="8"/>
      <c r="F42" s="48"/>
      <c r="G42" s="33"/>
    </row>
    <row r="43" spans="1:7">
      <c r="A43" s="7"/>
      <c r="B43" s="7"/>
      <c r="C43" s="36"/>
      <c r="D43" s="7"/>
      <c r="E43" s="8"/>
      <c r="F43" s="48"/>
      <c r="G43" s="33"/>
    </row>
    <row r="44" spans="1:7">
      <c r="A44" s="7"/>
      <c r="B44" s="7"/>
      <c r="C44" s="63"/>
      <c r="D44" s="25"/>
      <c r="E44" s="91"/>
      <c r="F44" s="48"/>
      <c r="G44" s="33"/>
    </row>
    <row r="45" spans="1:7">
      <c r="A45" s="7"/>
      <c r="B45" s="7"/>
      <c r="C45" s="63"/>
      <c r="D45" s="7"/>
      <c r="E45" s="8"/>
      <c r="F45" s="48"/>
      <c r="G45" s="33"/>
    </row>
    <row r="46" spans="1:7">
      <c r="A46" s="7"/>
      <c r="B46" s="7"/>
      <c r="C46" s="36"/>
      <c r="D46" s="7"/>
      <c r="E46" s="8"/>
      <c r="F46" s="48"/>
      <c r="G46" s="33"/>
    </row>
    <row r="47" spans="1:7">
      <c r="A47" s="7"/>
      <c r="B47" s="7"/>
      <c r="C47" s="63"/>
      <c r="D47" s="7"/>
      <c r="E47" s="8"/>
      <c r="F47" s="48"/>
      <c r="G47" s="33"/>
    </row>
    <row r="48" spans="1:7">
      <c r="A48" s="7"/>
      <c r="B48" s="7"/>
      <c r="C48" s="36"/>
      <c r="D48" s="7"/>
      <c r="E48" s="8"/>
      <c r="F48" s="48"/>
      <c r="G48" s="33"/>
    </row>
    <row r="49" spans="1:7">
      <c r="A49" s="7"/>
      <c r="B49" s="7"/>
      <c r="C49" s="63"/>
      <c r="D49" s="7"/>
      <c r="E49" s="8"/>
      <c r="F49" s="48"/>
      <c r="G49" s="33"/>
    </row>
    <row r="50" spans="1:7">
      <c r="A50" s="7"/>
      <c r="B50" s="7"/>
      <c r="C50" s="63"/>
      <c r="D50" s="7"/>
      <c r="E50" s="8"/>
      <c r="F50" s="48"/>
      <c r="G50" s="33"/>
    </row>
    <row r="51" spans="1:7">
      <c r="A51" s="7"/>
      <c r="B51" s="7"/>
      <c r="C51" s="63"/>
      <c r="D51" s="7"/>
      <c r="E51" s="8"/>
      <c r="F51" s="48"/>
      <c r="G51" s="33"/>
    </row>
    <row r="52" spans="1:7">
      <c r="A52" s="7"/>
      <c r="B52" s="7"/>
      <c r="C52" s="63"/>
      <c r="D52" s="7"/>
      <c r="E52" s="8"/>
      <c r="F52" s="48"/>
      <c r="G52" s="33"/>
    </row>
    <row r="53" spans="1:7">
      <c r="A53" s="7"/>
      <c r="B53" s="7"/>
      <c r="C53" s="36"/>
      <c r="D53" s="7"/>
      <c r="E53" s="8"/>
      <c r="F53" s="48"/>
      <c r="G53" s="33"/>
    </row>
    <row r="54" spans="1:7">
      <c r="A54" s="7"/>
      <c r="B54" s="7"/>
      <c r="C54" s="63"/>
      <c r="D54" s="7"/>
      <c r="E54" s="8"/>
      <c r="F54" s="48"/>
      <c r="G54" s="33"/>
    </row>
    <row r="55" spans="1:7">
      <c r="A55" s="7"/>
      <c r="B55" s="7"/>
      <c r="C55" s="36"/>
      <c r="D55" s="7"/>
      <c r="E55" s="8"/>
      <c r="F55" s="48"/>
      <c r="G55" s="33"/>
    </row>
    <row r="56" spans="1:7">
      <c r="A56" s="7"/>
      <c r="B56" s="7"/>
      <c r="C56" s="63"/>
      <c r="D56" s="7"/>
      <c r="E56" s="8"/>
      <c r="F56" s="48"/>
      <c r="G56" s="33"/>
    </row>
    <row r="57" spans="1:7">
      <c r="A57" s="7"/>
      <c r="B57" s="7"/>
      <c r="C57" s="63"/>
      <c r="D57" s="7"/>
      <c r="E57" s="8"/>
      <c r="F57" s="48"/>
      <c r="G57" s="33"/>
    </row>
    <row r="58" spans="1:7" ht="14.4">
      <c r="A58" s="7"/>
      <c r="B58" s="7"/>
      <c r="C58" s="140"/>
      <c r="D58" s="7"/>
      <c r="E58" s="8"/>
      <c r="F58" s="48"/>
      <c r="G58" s="33"/>
    </row>
    <row r="59" spans="1:7">
      <c r="A59" s="7"/>
      <c r="B59" s="7"/>
      <c r="C59" s="63"/>
      <c r="D59" s="7"/>
      <c r="E59" s="8"/>
      <c r="F59" s="48"/>
      <c r="G59" s="33"/>
    </row>
    <row r="60" spans="1:7">
      <c r="A60" s="7"/>
      <c r="B60" s="7"/>
      <c r="C60" s="36"/>
      <c r="D60" s="7"/>
      <c r="E60" s="8"/>
      <c r="F60" s="48"/>
      <c r="G60" s="33"/>
    </row>
    <row r="61" spans="1:7">
      <c r="A61" s="7"/>
      <c r="B61" s="7"/>
      <c r="C61" s="63"/>
      <c r="D61" s="7"/>
      <c r="E61" s="8"/>
      <c r="F61" s="48"/>
      <c r="G61" s="33"/>
    </row>
    <row r="62" spans="1:7">
      <c r="A62" s="7"/>
      <c r="B62" s="7"/>
      <c r="C62" s="63"/>
      <c r="D62" s="7"/>
      <c r="E62" s="8"/>
      <c r="F62" s="48"/>
      <c r="G62" s="33"/>
    </row>
    <row r="63" spans="1:7">
      <c r="A63" s="7"/>
      <c r="B63" s="7"/>
      <c r="C63" s="63"/>
      <c r="D63" s="7"/>
      <c r="E63" s="8"/>
      <c r="F63" s="48"/>
      <c r="G63" s="33"/>
    </row>
    <row r="64" spans="1:7">
      <c r="A64" s="7"/>
      <c r="B64" s="7"/>
      <c r="C64" s="36"/>
      <c r="D64" s="7"/>
      <c r="E64" s="8"/>
      <c r="F64" s="48"/>
      <c r="G64" s="33"/>
    </row>
    <row r="65" spans="1:7">
      <c r="A65" s="7"/>
      <c r="B65" s="7"/>
      <c r="C65" s="63"/>
      <c r="D65" s="7"/>
      <c r="E65" s="8"/>
      <c r="F65" s="48"/>
      <c r="G65" s="33"/>
    </row>
    <row r="66" spans="1:7">
      <c r="A66" s="7"/>
      <c r="B66" s="4"/>
      <c r="C66" s="63"/>
      <c r="D66" s="7"/>
      <c r="E66" s="8"/>
      <c r="F66" s="48"/>
      <c r="G66" s="33"/>
    </row>
    <row r="67" spans="1:7">
      <c r="A67" s="7"/>
      <c r="B67" s="4"/>
      <c r="C67" s="63"/>
      <c r="D67" s="7"/>
      <c r="E67" s="8"/>
      <c r="F67" s="48"/>
      <c r="G67" s="33"/>
    </row>
    <row r="68" spans="1:7">
      <c r="A68" s="7"/>
      <c r="B68" s="4"/>
      <c r="C68" s="63"/>
      <c r="D68" s="7"/>
      <c r="E68" s="8"/>
      <c r="F68" s="48"/>
      <c r="G68" s="33"/>
    </row>
    <row r="69" spans="1:7">
      <c r="A69" s="7"/>
      <c r="B69" s="4"/>
      <c r="C69" s="63"/>
      <c r="D69" s="7"/>
      <c r="E69" s="8"/>
      <c r="F69" s="48"/>
      <c r="G69" s="33"/>
    </row>
    <row r="70" spans="1:7">
      <c r="A70" s="7"/>
      <c r="B70" s="4"/>
      <c r="C70" s="63"/>
      <c r="D70" s="7"/>
      <c r="E70" s="8"/>
      <c r="F70" s="48"/>
      <c r="G70" s="33"/>
    </row>
    <row r="71" spans="1:7">
      <c r="A71" s="7"/>
      <c r="B71" s="4"/>
      <c r="C71" s="63"/>
      <c r="D71" s="7"/>
      <c r="E71" s="8"/>
      <c r="F71" s="48"/>
      <c r="G71" s="33"/>
    </row>
    <row r="72" spans="1:7">
      <c r="A72" s="7"/>
      <c r="B72" s="4"/>
      <c r="C72" s="63"/>
      <c r="D72" s="25"/>
      <c r="E72" s="8"/>
      <c r="F72" s="48"/>
      <c r="G72" s="33"/>
    </row>
    <row r="73" spans="1:7">
      <c r="A73" s="7"/>
      <c r="B73" s="4"/>
      <c r="C73" s="63"/>
      <c r="D73" s="7"/>
      <c r="E73" s="8"/>
      <c r="F73" s="48"/>
      <c r="G73" s="33"/>
    </row>
    <row r="74" spans="1:7">
      <c r="A74" s="7"/>
      <c r="B74" s="4"/>
      <c r="C74" s="63"/>
      <c r="D74" s="7"/>
      <c r="E74" s="8"/>
      <c r="F74" s="48"/>
      <c r="G74" s="33"/>
    </row>
    <row r="75" spans="1:7">
      <c r="A75" s="7"/>
      <c r="B75" s="4"/>
      <c r="C75" s="63"/>
      <c r="D75" s="7"/>
      <c r="E75" s="8"/>
      <c r="F75" s="48"/>
      <c r="G75" s="33"/>
    </row>
    <row r="76" spans="1:7">
      <c r="A76" s="7"/>
      <c r="B76" s="4"/>
      <c r="C76" s="63"/>
      <c r="D76" s="7"/>
      <c r="E76" s="91"/>
      <c r="F76" s="48"/>
      <c r="G76" s="33"/>
    </row>
    <row r="77" spans="1:7" ht="14.4" thickBot="1">
      <c r="A77" s="141"/>
      <c r="B77" s="141"/>
      <c r="C77" s="142"/>
      <c r="D77" s="141"/>
      <c r="E77" s="143"/>
      <c r="F77" s="144"/>
      <c r="G77" s="145"/>
    </row>
    <row r="78" spans="1:7" ht="14.4" thickBot="1">
      <c r="A78" s="2245" t="s">
        <v>139</v>
      </c>
      <c r="B78" s="2246"/>
      <c r="C78" s="2246"/>
      <c r="D78" s="2246"/>
      <c r="E78" s="2246"/>
      <c r="F78" s="2247"/>
      <c r="G78" s="37">
        <f>SUM(G11:G77)</f>
        <v>949426.60944206011</v>
      </c>
    </row>
  </sheetData>
  <mergeCells count="9">
    <mergeCell ref="F7:F8"/>
    <mergeCell ref="G7:G8"/>
    <mergeCell ref="A78:F78"/>
    <mergeCell ref="A4:D4"/>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64" fitToHeight="0" orientation="portrait" r:id="rId1"/>
  <headerFooter scaleWithDoc="0" alignWithMargins="0">
    <oddHeader>&amp;C&amp;"Arial Narrow,Regular"&amp;10C39.&amp;P</oddHeader>
    <oddFooter>&amp;L&amp;"Arial Narrow,Regular"Giyani Waste Disposal Site Development</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view="pageBreakPreview" zoomScaleNormal="100" zoomScaleSheetLayoutView="100" workbookViewId="0">
      <selection activeCell="C20" sqref="C20"/>
    </sheetView>
  </sheetViews>
  <sheetFormatPr defaultColWidth="9.109375" defaultRowHeight="13.8"/>
  <cols>
    <col min="1" max="1" width="9.109375" style="100"/>
    <col min="2" max="2" width="11.88671875" style="99" customWidth="1"/>
    <col min="3" max="3" width="64.88671875" style="99" customWidth="1"/>
    <col min="4" max="4" width="9.109375" style="100"/>
    <col min="5" max="5" width="12.33203125" style="100" customWidth="1"/>
    <col min="6" max="6" width="13.33203125" style="100" customWidth="1"/>
    <col min="7" max="7" width="15.109375" style="100" customWidth="1"/>
    <col min="8" max="16384" width="9.109375" style="99"/>
  </cols>
  <sheetData>
    <row r="1" spans="1:7">
      <c r="A1" s="130" t="str">
        <f>'1-P&amp;G''s '!A1</f>
        <v>GREATER LETABA MUNICIPALITY</v>
      </c>
      <c r="B1" s="130"/>
      <c r="C1" s="130"/>
      <c r="D1" s="135"/>
      <c r="E1" s="88"/>
      <c r="F1" s="82"/>
      <c r="G1" s="85"/>
    </row>
    <row r="2" spans="1:7">
      <c r="A2" s="130" t="str">
        <f>'1-P&amp;G''s '!A2</f>
        <v>CONTRACT NUMBER: GLM015/2025</v>
      </c>
      <c r="B2" s="130"/>
      <c r="C2" s="130"/>
      <c r="D2" s="130"/>
      <c r="E2" s="89"/>
      <c r="F2" s="98"/>
      <c r="G2" s="85"/>
    </row>
    <row r="3" spans="1:7">
      <c r="A3" s="130" t="str">
        <f>'1-P&amp;G''s '!A3</f>
        <v>CONSTRUCTION OF MAPHALLE LANDFILL SITE PH2</v>
      </c>
      <c r="B3" s="130"/>
      <c r="C3" s="135"/>
      <c r="D3" s="135"/>
      <c r="E3" s="88"/>
      <c r="F3" s="82"/>
      <c r="G3" s="85"/>
    </row>
    <row r="4" spans="1:7">
      <c r="A4" s="2248"/>
      <c r="B4" s="2248"/>
      <c r="C4" s="2248"/>
      <c r="D4" s="2248"/>
      <c r="E4" s="88"/>
      <c r="F4" s="82"/>
      <c r="G4" s="85"/>
    </row>
    <row r="5" spans="1:7">
      <c r="A5" s="130" t="s">
        <v>557</v>
      </c>
      <c r="B5" s="3"/>
      <c r="C5" s="3"/>
      <c r="D5" s="1"/>
      <c r="E5" s="89"/>
      <c r="F5" s="82"/>
      <c r="G5" s="85"/>
    </row>
    <row r="6" spans="1:7" ht="14.4" thickBot="1">
      <c r="A6" s="35"/>
      <c r="B6" s="35"/>
      <c r="C6" s="2"/>
      <c r="D6" s="35"/>
      <c r="E6" s="88"/>
      <c r="F6" s="82"/>
      <c r="G6" s="85"/>
    </row>
    <row r="7" spans="1:7">
      <c r="A7" s="2142" t="s">
        <v>111</v>
      </c>
      <c r="B7" s="2142" t="s">
        <v>112</v>
      </c>
      <c r="C7" s="2139" t="s">
        <v>2</v>
      </c>
      <c r="D7" s="2139" t="s">
        <v>3</v>
      </c>
      <c r="E7" s="2249" t="s">
        <v>4</v>
      </c>
      <c r="F7" s="2241" t="s">
        <v>5</v>
      </c>
      <c r="G7" s="2243" t="s">
        <v>6</v>
      </c>
    </row>
    <row r="8" spans="1:7" ht="14.4" thickBot="1">
      <c r="A8" s="2143"/>
      <c r="B8" s="2143"/>
      <c r="C8" s="2140"/>
      <c r="D8" s="2140"/>
      <c r="E8" s="2250"/>
      <c r="F8" s="2242"/>
      <c r="G8" s="2244"/>
    </row>
    <row r="9" spans="1:7">
      <c r="A9" s="57"/>
      <c r="B9" s="57"/>
      <c r="C9" s="58"/>
      <c r="D9" s="57"/>
      <c r="E9" s="90"/>
      <c r="F9" s="60"/>
      <c r="G9" s="59"/>
    </row>
    <row r="10" spans="1:7">
      <c r="A10" s="39"/>
      <c r="B10" s="4"/>
      <c r="C10" s="36"/>
      <c r="D10" s="7"/>
      <c r="E10" s="8"/>
      <c r="F10" s="48"/>
      <c r="G10" s="33"/>
    </row>
    <row r="11" spans="1:7">
      <c r="A11" s="157">
        <v>1</v>
      </c>
      <c r="B11" s="7"/>
      <c r="C11" s="158" t="s">
        <v>483</v>
      </c>
      <c r="D11" s="159"/>
      <c r="E11" s="8"/>
      <c r="F11" s="48"/>
      <c r="G11" s="33"/>
    </row>
    <row r="12" spans="1:7" ht="27.6">
      <c r="A12" s="160"/>
      <c r="B12" s="7"/>
      <c r="C12" s="161" t="s">
        <v>484</v>
      </c>
      <c r="D12" s="159"/>
      <c r="E12" s="8"/>
      <c r="F12" s="48"/>
      <c r="G12" s="33"/>
    </row>
    <row r="13" spans="1:7">
      <c r="A13" s="160"/>
      <c r="B13" s="7"/>
      <c r="C13" s="161"/>
      <c r="D13" s="159"/>
      <c r="E13" s="8"/>
      <c r="F13" s="79"/>
      <c r="G13" s="33"/>
    </row>
    <row r="14" spans="1:7">
      <c r="A14" s="160">
        <v>1.1000000000000001</v>
      </c>
      <c r="B14" s="7"/>
      <c r="C14" s="162" t="s">
        <v>485</v>
      </c>
      <c r="D14" s="159" t="s">
        <v>486</v>
      </c>
      <c r="E14" s="8">
        <v>1</v>
      </c>
      <c r="F14" s="48">
        <v>13000</v>
      </c>
      <c r="G14" s="33">
        <f>F14*E14</f>
        <v>13000</v>
      </c>
    </row>
    <row r="15" spans="1:7">
      <c r="A15" s="160">
        <v>1.2</v>
      </c>
      <c r="B15" s="7"/>
      <c r="C15" s="162" t="s">
        <v>487</v>
      </c>
      <c r="D15" s="159" t="s">
        <v>486</v>
      </c>
      <c r="E15" s="8">
        <v>1</v>
      </c>
      <c r="F15" s="48">
        <v>1460</v>
      </c>
      <c r="G15" s="33">
        <f t="shared" ref="G15:G87" si="0">F15*E15</f>
        <v>1460</v>
      </c>
    </row>
    <row r="16" spans="1:7">
      <c r="A16" s="160"/>
      <c r="B16" s="7"/>
      <c r="C16" s="162"/>
      <c r="D16" s="159"/>
      <c r="E16" s="8"/>
      <c r="F16" s="48"/>
      <c r="G16" s="33"/>
    </row>
    <row r="17" spans="1:7">
      <c r="A17" s="157">
        <v>2</v>
      </c>
      <c r="B17" s="7"/>
      <c r="C17" s="158" t="s">
        <v>488</v>
      </c>
      <c r="D17" s="159"/>
      <c r="E17" s="8"/>
      <c r="F17" s="48"/>
      <c r="G17" s="33"/>
    </row>
    <row r="18" spans="1:7" ht="27.6">
      <c r="A18" s="160"/>
      <c r="B18" s="7"/>
      <c r="C18" s="162" t="s">
        <v>489</v>
      </c>
      <c r="D18" s="159"/>
      <c r="E18" s="8"/>
      <c r="F18" s="48"/>
      <c r="G18" s="33"/>
    </row>
    <row r="19" spans="1:7">
      <c r="A19" s="160"/>
      <c r="B19" s="7"/>
      <c r="C19" s="161"/>
      <c r="D19" s="159"/>
      <c r="E19" s="8"/>
      <c r="F19" s="48"/>
      <c r="G19" s="33"/>
    </row>
    <row r="20" spans="1:7">
      <c r="A20" s="160">
        <v>2.1</v>
      </c>
      <c r="B20" s="7"/>
      <c r="C20" s="162" t="s">
        <v>490</v>
      </c>
      <c r="D20" s="159" t="s">
        <v>486</v>
      </c>
      <c r="E20" s="8">
        <v>6</v>
      </c>
      <c r="F20" s="48">
        <v>72.789999999999992</v>
      </c>
      <c r="G20" s="33">
        <f t="shared" si="0"/>
        <v>436.73999999999995</v>
      </c>
    </row>
    <row r="21" spans="1:7">
      <c r="A21" s="160">
        <v>2.2000000000000002</v>
      </c>
      <c r="B21" s="7"/>
      <c r="C21" s="162" t="s">
        <v>491</v>
      </c>
      <c r="D21" s="159" t="s">
        <v>486</v>
      </c>
      <c r="E21" s="8">
        <v>5</v>
      </c>
      <c r="F21" s="48">
        <v>45.45</v>
      </c>
      <c r="G21" s="33">
        <f t="shared" si="0"/>
        <v>227.25</v>
      </c>
    </row>
    <row r="22" spans="1:7">
      <c r="A22" s="160"/>
      <c r="B22" s="7"/>
      <c r="C22" s="162"/>
      <c r="D22" s="159"/>
      <c r="E22" s="8"/>
      <c r="F22" s="48"/>
      <c r="G22" s="33"/>
    </row>
    <row r="23" spans="1:7">
      <c r="A23" s="157">
        <v>3</v>
      </c>
      <c r="B23" s="7"/>
      <c r="C23" s="161" t="s">
        <v>492</v>
      </c>
      <c r="D23" s="159"/>
      <c r="E23" s="8"/>
      <c r="F23" s="48"/>
      <c r="G23" s="33"/>
    </row>
    <row r="24" spans="1:7">
      <c r="A24" s="160"/>
      <c r="B24" s="7"/>
      <c r="C24" s="162" t="s">
        <v>493</v>
      </c>
      <c r="D24" s="159"/>
      <c r="E24" s="8"/>
      <c r="F24" s="48"/>
      <c r="G24" s="33"/>
    </row>
    <row r="25" spans="1:7">
      <c r="A25" s="160"/>
      <c r="B25" s="7"/>
      <c r="C25" s="162" t="s">
        <v>494</v>
      </c>
      <c r="D25" s="159"/>
      <c r="E25" s="8"/>
      <c r="F25" s="48"/>
      <c r="G25" s="33"/>
    </row>
    <row r="26" spans="1:7">
      <c r="A26" s="160"/>
      <c r="B26" s="7"/>
      <c r="C26" s="162"/>
      <c r="D26" s="159"/>
      <c r="E26" s="8"/>
      <c r="F26" s="48"/>
      <c r="G26" s="33"/>
    </row>
    <row r="27" spans="1:7" ht="27.6">
      <c r="A27" s="160">
        <v>3.1</v>
      </c>
      <c r="B27" s="7"/>
      <c r="C27" s="162" t="s">
        <v>495</v>
      </c>
      <c r="D27" s="159" t="s">
        <v>486</v>
      </c>
      <c r="E27" s="8">
        <v>5</v>
      </c>
      <c r="F27" s="48">
        <v>2050</v>
      </c>
      <c r="G27" s="33">
        <f t="shared" si="0"/>
        <v>10250</v>
      </c>
    </row>
    <row r="28" spans="1:7">
      <c r="A28" s="160">
        <v>3.2</v>
      </c>
      <c r="B28" s="7"/>
      <c r="C28" s="162" t="s">
        <v>496</v>
      </c>
      <c r="D28" s="159" t="s">
        <v>136</v>
      </c>
      <c r="E28" s="8">
        <v>30</v>
      </c>
      <c r="F28" s="48">
        <v>686.25</v>
      </c>
      <c r="G28" s="33">
        <f t="shared" si="0"/>
        <v>20587.5</v>
      </c>
    </row>
    <row r="29" spans="1:7">
      <c r="A29" s="160">
        <v>3.3</v>
      </c>
      <c r="B29" s="7"/>
      <c r="C29" s="162" t="s">
        <v>497</v>
      </c>
      <c r="D29" s="159" t="s">
        <v>486</v>
      </c>
      <c r="E29" s="8">
        <v>6</v>
      </c>
      <c r="F29" s="48">
        <v>600</v>
      </c>
      <c r="G29" s="33">
        <f t="shared" si="0"/>
        <v>3600</v>
      </c>
    </row>
    <row r="30" spans="1:7">
      <c r="A30" s="160">
        <v>3.4</v>
      </c>
      <c r="B30" s="7"/>
      <c r="C30" s="162" t="s">
        <v>498</v>
      </c>
      <c r="D30" s="159" t="s">
        <v>486</v>
      </c>
      <c r="E30" s="8">
        <v>1</v>
      </c>
      <c r="F30" s="48">
        <v>325</v>
      </c>
      <c r="G30" s="33">
        <f t="shared" si="0"/>
        <v>325</v>
      </c>
    </row>
    <row r="31" spans="1:7">
      <c r="A31" s="160">
        <v>3.5</v>
      </c>
      <c r="B31" s="7"/>
      <c r="C31" s="162" t="s">
        <v>499</v>
      </c>
      <c r="D31" s="159" t="s">
        <v>486</v>
      </c>
      <c r="E31" s="8">
        <v>1</v>
      </c>
      <c r="F31" s="48">
        <v>45.59</v>
      </c>
      <c r="G31" s="33">
        <f t="shared" si="0"/>
        <v>45.59</v>
      </c>
    </row>
    <row r="32" spans="1:7">
      <c r="A32" s="160"/>
      <c r="B32" s="7"/>
      <c r="C32" s="161"/>
      <c r="D32" s="159"/>
      <c r="E32" s="8"/>
      <c r="F32" s="48"/>
      <c r="G32" s="33"/>
    </row>
    <row r="33" spans="1:7">
      <c r="A33" s="157">
        <v>4</v>
      </c>
      <c r="B33" s="7"/>
      <c r="C33" s="161" t="s">
        <v>500</v>
      </c>
      <c r="D33" s="159"/>
      <c r="E33" s="8"/>
      <c r="F33" s="48"/>
      <c r="G33" s="33"/>
    </row>
    <row r="34" spans="1:7">
      <c r="A34" s="160"/>
      <c r="B34" s="7"/>
      <c r="C34" s="162" t="s">
        <v>501</v>
      </c>
      <c r="D34" s="159"/>
      <c r="E34" s="8"/>
      <c r="F34" s="48"/>
      <c r="G34" s="33"/>
    </row>
    <row r="35" spans="1:7">
      <c r="A35" s="160"/>
      <c r="B35" s="7"/>
      <c r="C35" s="161"/>
      <c r="D35" s="159"/>
      <c r="E35" s="8"/>
      <c r="F35" s="48"/>
      <c r="G35" s="33"/>
    </row>
    <row r="36" spans="1:7">
      <c r="A36" s="163">
        <v>4.0999999999999996</v>
      </c>
      <c r="B36" s="7"/>
      <c r="C36" s="162" t="s">
        <v>502</v>
      </c>
      <c r="D36" s="159" t="s">
        <v>486</v>
      </c>
      <c r="E36" s="8">
        <v>10</v>
      </c>
      <c r="F36" s="48">
        <v>15.95</v>
      </c>
      <c r="G36" s="33">
        <f t="shared" si="0"/>
        <v>159.5</v>
      </c>
    </row>
    <row r="37" spans="1:7">
      <c r="A37" s="163">
        <v>4.2</v>
      </c>
      <c r="B37" s="7"/>
      <c r="C37" s="162" t="s">
        <v>503</v>
      </c>
      <c r="D37" s="159" t="s">
        <v>486</v>
      </c>
      <c r="E37" s="8">
        <v>1</v>
      </c>
      <c r="F37" s="48">
        <v>20.96</v>
      </c>
      <c r="G37" s="33">
        <f t="shared" si="0"/>
        <v>20.96</v>
      </c>
    </row>
    <row r="38" spans="1:7">
      <c r="A38" s="163">
        <v>4.3</v>
      </c>
      <c r="B38" s="7"/>
      <c r="C38" s="162" t="s">
        <v>504</v>
      </c>
      <c r="D38" s="159" t="s">
        <v>486</v>
      </c>
      <c r="E38" s="8">
        <v>6</v>
      </c>
      <c r="F38" s="48">
        <v>25.13</v>
      </c>
      <c r="G38" s="33">
        <f t="shared" si="0"/>
        <v>150.78</v>
      </c>
    </row>
    <row r="39" spans="1:7">
      <c r="A39" s="160"/>
      <c r="B39" s="7"/>
      <c r="C39" s="162"/>
      <c r="D39" s="159"/>
      <c r="E39" s="8"/>
      <c r="F39" s="48"/>
      <c r="G39" s="33"/>
    </row>
    <row r="40" spans="1:7">
      <c r="A40" s="157">
        <v>5</v>
      </c>
      <c r="B40" s="7"/>
      <c r="C40" s="161" t="s">
        <v>505</v>
      </c>
      <c r="D40" s="159"/>
      <c r="E40" s="8"/>
      <c r="F40" s="48"/>
      <c r="G40" s="33"/>
    </row>
    <row r="41" spans="1:7" ht="27.6">
      <c r="A41" s="160"/>
      <c r="B41" s="7"/>
      <c r="C41" s="162" t="s">
        <v>506</v>
      </c>
      <c r="D41" s="159"/>
      <c r="E41" s="8"/>
      <c r="F41" s="48"/>
      <c r="G41" s="33"/>
    </row>
    <row r="42" spans="1:7">
      <c r="A42" s="160"/>
      <c r="B42" s="7"/>
      <c r="C42" s="161"/>
      <c r="D42" s="159"/>
      <c r="E42" s="8"/>
      <c r="F42" s="48"/>
      <c r="G42" s="33"/>
    </row>
    <row r="43" spans="1:7">
      <c r="A43" s="163">
        <v>5.0999999999999996</v>
      </c>
      <c r="B43" s="7"/>
      <c r="C43" s="162" t="s">
        <v>507</v>
      </c>
      <c r="D43" s="159" t="s">
        <v>136</v>
      </c>
      <c r="E43" s="8">
        <v>100</v>
      </c>
      <c r="F43" s="48">
        <v>4.8599999999999994</v>
      </c>
      <c r="G43" s="33">
        <f t="shared" si="0"/>
        <v>485.99999999999994</v>
      </c>
    </row>
    <row r="44" spans="1:7">
      <c r="A44" s="163">
        <v>5.2</v>
      </c>
      <c r="B44" s="7"/>
      <c r="C44" s="162" t="s">
        <v>508</v>
      </c>
      <c r="D44" s="159" t="s">
        <v>136</v>
      </c>
      <c r="E44" s="8">
        <v>200</v>
      </c>
      <c r="F44" s="48">
        <v>6.2200000000000006</v>
      </c>
      <c r="G44" s="33">
        <f t="shared" si="0"/>
        <v>1244.0000000000002</v>
      </c>
    </row>
    <row r="45" spans="1:7">
      <c r="A45" s="160"/>
      <c r="B45" s="7"/>
      <c r="C45" s="162"/>
      <c r="D45" s="159"/>
      <c r="E45" s="8"/>
      <c r="F45" s="48"/>
      <c r="G45" s="33"/>
    </row>
    <row r="46" spans="1:7">
      <c r="A46" s="157">
        <v>6</v>
      </c>
      <c r="B46" s="7"/>
      <c r="C46" s="158" t="s">
        <v>509</v>
      </c>
      <c r="D46" s="159"/>
      <c r="E46" s="8"/>
      <c r="F46" s="48"/>
      <c r="G46" s="33"/>
    </row>
    <row r="47" spans="1:7">
      <c r="A47" s="160"/>
      <c r="B47" s="7"/>
      <c r="C47" s="161"/>
      <c r="D47" s="159"/>
      <c r="E47" s="8"/>
      <c r="F47" s="48"/>
      <c r="G47" s="33"/>
    </row>
    <row r="48" spans="1:7">
      <c r="A48" s="160">
        <v>6.1</v>
      </c>
      <c r="B48" s="7"/>
      <c r="C48" s="162" t="s">
        <v>510</v>
      </c>
      <c r="D48" s="159" t="s">
        <v>136</v>
      </c>
      <c r="E48" s="8">
        <v>0</v>
      </c>
      <c r="F48" s="48">
        <v>40.85</v>
      </c>
      <c r="G48" s="33">
        <f t="shared" si="0"/>
        <v>0</v>
      </c>
    </row>
    <row r="49" spans="1:7">
      <c r="A49" s="160">
        <v>6.2</v>
      </c>
      <c r="B49" s="7"/>
      <c r="C49" s="162" t="s">
        <v>511</v>
      </c>
      <c r="D49" s="159" t="s">
        <v>136</v>
      </c>
      <c r="E49" s="8">
        <v>30</v>
      </c>
      <c r="F49" s="48">
        <v>40.85</v>
      </c>
      <c r="G49" s="33">
        <f t="shared" si="0"/>
        <v>1225.5</v>
      </c>
    </row>
    <row r="50" spans="1:7">
      <c r="A50" s="163">
        <v>6.3</v>
      </c>
      <c r="B50" s="7"/>
      <c r="C50" s="162" t="s">
        <v>512</v>
      </c>
      <c r="D50" s="159" t="s">
        <v>136</v>
      </c>
      <c r="E50" s="8">
        <v>0</v>
      </c>
      <c r="F50" s="48">
        <v>52.85</v>
      </c>
      <c r="G50" s="33">
        <f t="shared" si="0"/>
        <v>0</v>
      </c>
    </row>
    <row r="51" spans="1:7">
      <c r="A51" s="160"/>
      <c r="B51" s="7"/>
      <c r="C51" s="161"/>
      <c r="D51" s="159"/>
      <c r="E51" s="8"/>
      <c r="F51" s="48"/>
      <c r="G51" s="33"/>
    </row>
    <row r="52" spans="1:7">
      <c r="A52" s="157">
        <v>7</v>
      </c>
      <c r="B52" s="7"/>
      <c r="C52" s="161" t="s">
        <v>513</v>
      </c>
      <c r="D52" s="159"/>
      <c r="E52" s="8"/>
      <c r="F52" s="48"/>
      <c r="G52" s="33"/>
    </row>
    <row r="53" spans="1:7" ht="27.6">
      <c r="A53" s="160"/>
      <c r="B53" s="7"/>
      <c r="C53" s="162" t="s">
        <v>514</v>
      </c>
      <c r="D53" s="159"/>
      <c r="E53" s="8"/>
      <c r="F53" s="48"/>
      <c r="G53" s="33"/>
    </row>
    <row r="54" spans="1:7">
      <c r="A54" s="160"/>
      <c r="B54" s="7"/>
      <c r="C54" s="161"/>
      <c r="D54" s="159"/>
      <c r="E54" s="8"/>
      <c r="F54" s="48"/>
      <c r="G54" s="33"/>
    </row>
    <row r="55" spans="1:7" ht="16.2">
      <c r="A55" s="163">
        <v>7.1</v>
      </c>
      <c r="B55" s="7"/>
      <c r="C55" s="162" t="s">
        <v>529</v>
      </c>
      <c r="D55" s="159" t="s">
        <v>136</v>
      </c>
      <c r="E55" s="8">
        <v>200</v>
      </c>
      <c r="F55" s="48">
        <v>3.0700000000000003</v>
      </c>
      <c r="G55" s="33">
        <f t="shared" si="0"/>
        <v>614</v>
      </c>
    </row>
    <row r="56" spans="1:7" ht="16.2">
      <c r="A56" s="163">
        <v>7.2</v>
      </c>
      <c r="B56" s="7"/>
      <c r="C56" s="162" t="s">
        <v>530</v>
      </c>
      <c r="D56" s="159" t="s">
        <v>136</v>
      </c>
      <c r="E56" s="8">
        <v>400</v>
      </c>
      <c r="F56" s="48">
        <v>4.9300000000000006</v>
      </c>
      <c r="G56" s="33">
        <f t="shared" si="0"/>
        <v>1972.0000000000002</v>
      </c>
    </row>
    <row r="57" spans="1:7" ht="16.2">
      <c r="A57" s="163">
        <v>7.3</v>
      </c>
      <c r="B57" s="7"/>
      <c r="C57" s="162" t="s">
        <v>531</v>
      </c>
      <c r="D57" s="159" t="s">
        <v>136</v>
      </c>
      <c r="E57" s="8">
        <v>300</v>
      </c>
      <c r="F57" s="48">
        <v>3.0700000000000003</v>
      </c>
      <c r="G57" s="33">
        <f t="shared" si="0"/>
        <v>921.00000000000011</v>
      </c>
    </row>
    <row r="58" spans="1:7">
      <c r="A58" s="160"/>
      <c r="B58" s="7"/>
      <c r="C58" s="162"/>
      <c r="D58" s="159"/>
      <c r="E58" s="8"/>
      <c r="F58" s="48"/>
      <c r="G58" s="33"/>
    </row>
    <row r="59" spans="1:7">
      <c r="A59" s="157">
        <v>8</v>
      </c>
      <c r="B59" s="7"/>
      <c r="C59" s="161" t="s">
        <v>515</v>
      </c>
      <c r="D59" s="159"/>
      <c r="E59" s="8"/>
      <c r="F59" s="48"/>
      <c r="G59" s="33"/>
    </row>
    <row r="60" spans="1:7" ht="27.6">
      <c r="A60" s="160"/>
      <c r="B60" s="7"/>
      <c r="C60" s="162" t="s">
        <v>516</v>
      </c>
      <c r="D60" s="159"/>
      <c r="E60" s="8"/>
      <c r="F60" s="48"/>
      <c r="G60" s="33"/>
    </row>
    <row r="61" spans="1:7">
      <c r="A61" s="160"/>
      <c r="B61" s="7"/>
      <c r="C61" s="162"/>
      <c r="D61" s="159"/>
      <c r="E61" s="8"/>
      <c r="F61" s="48"/>
      <c r="G61" s="33"/>
    </row>
    <row r="62" spans="1:7">
      <c r="A62" s="163">
        <v>8.1</v>
      </c>
      <c r="B62" s="7"/>
      <c r="C62" s="162" t="s">
        <v>517</v>
      </c>
      <c r="D62" s="159" t="s">
        <v>136</v>
      </c>
      <c r="E62" s="8">
        <v>100</v>
      </c>
      <c r="F62" s="48">
        <v>1.1000000000000001</v>
      </c>
      <c r="G62" s="33">
        <f t="shared" si="0"/>
        <v>110.00000000000001</v>
      </c>
    </row>
    <row r="63" spans="1:7">
      <c r="A63" s="163"/>
      <c r="B63" s="7"/>
      <c r="C63" s="162"/>
      <c r="D63" s="159"/>
      <c r="E63" s="8"/>
      <c r="F63" s="48"/>
      <c r="G63" s="33"/>
    </row>
    <row r="64" spans="1:7">
      <c r="A64" s="163"/>
      <c r="B64" s="7"/>
      <c r="C64" s="162"/>
      <c r="D64" s="159"/>
      <c r="E64" s="8"/>
      <c r="F64" s="48"/>
      <c r="G64" s="33"/>
    </row>
    <row r="65" spans="1:7" ht="14.4" thickBot="1">
      <c r="A65" s="172"/>
      <c r="B65" s="172"/>
      <c r="C65" s="62"/>
      <c r="D65" s="76"/>
      <c r="E65" s="76"/>
      <c r="F65" s="48"/>
      <c r="G65" s="33"/>
    </row>
    <row r="66" spans="1:7" ht="14.4" thickBot="1">
      <c r="A66" s="2137" t="s">
        <v>48</v>
      </c>
      <c r="B66" s="2138"/>
      <c r="C66" s="2138"/>
      <c r="D66" s="2138"/>
      <c r="E66" s="2141"/>
      <c r="F66" s="50"/>
      <c r="G66" s="17">
        <f>SUM(G10:G65)</f>
        <v>56835.819999999992</v>
      </c>
    </row>
    <row r="67" spans="1:7" ht="14.4" thickBot="1">
      <c r="A67" s="99"/>
      <c r="E67" s="101"/>
    </row>
    <row r="68" spans="1:7">
      <c r="A68" s="127" t="s">
        <v>0</v>
      </c>
      <c r="B68" s="127" t="s">
        <v>1</v>
      </c>
      <c r="C68" s="2253" t="s">
        <v>2</v>
      </c>
      <c r="D68" s="2253" t="s">
        <v>3</v>
      </c>
      <c r="E68" s="2255" t="s">
        <v>4</v>
      </c>
      <c r="F68" s="2257" t="s">
        <v>5</v>
      </c>
      <c r="G68" s="2251" t="s">
        <v>6</v>
      </c>
    </row>
    <row r="69" spans="1:7" ht="14.4" thickBot="1">
      <c r="A69" s="128" t="s">
        <v>7</v>
      </c>
      <c r="B69" s="128" t="s">
        <v>8</v>
      </c>
      <c r="C69" s="2254"/>
      <c r="D69" s="2254"/>
      <c r="E69" s="2256"/>
      <c r="F69" s="2258"/>
      <c r="G69" s="2252"/>
    </row>
    <row r="70" spans="1:7" ht="14.4" thickBot="1">
      <c r="A70" s="2145" t="s">
        <v>49</v>
      </c>
      <c r="B70" s="2145"/>
      <c r="C70" s="2145"/>
      <c r="D70" s="2145"/>
      <c r="E70" s="2145"/>
      <c r="F70" s="2145"/>
      <c r="G70" s="126">
        <f>G66</f>
        <v>56835.819999999992</v>
      </c>
    </row>
    <row r="71" spans="1:7">
      <c r="A71" s="172"/>
      <c r="B71" s="172"/>
      <c r="C71" s="62"/>
      <c r="D71" s="76"/>
      <c r="E71" s="76"/>
      <c r="F71" s="48"/>
      <c r="G71" s="33"/>
    </row>
    <row r="72" spans="1:7">
      <c r="A72" s="172"/>
      <c r="B72" s="172"/>
      <c r="C72" s="62"/>
      <c r="D72" s="76"/>
      <c r="E72" s="76"/>
      <c r="F72" s="48"/>
      <c r="G72" s="33"/>
    </row>
    <row r="73" spans="1:7">
      <c r="A73" s="160"/>
      <c r="B73" s="7"/>
      <c r="C73" s="161"/>
      <c r="D73" s="159"/>
      <c r="E73" s="8"/>
      <c r="F73" s="48"/>
      <c r="G73" s="33"/>
    </row>
    <row r="74" spans="1:7">
      <c r="A74" s="157">
        <v>9</v>
      </c>
      <c r="B74" s="7"/>
      <c r="C74" s="161" t="s">
        <v>518</v>
      </c>
      <c r="D74" s="159"/>
      <c r="E74" s="8"/>
      <c r="F74" s="48"/>
      <c r="G74" s="33"/>
    </row>
    <row r="75" spans="1:7" ht="27.6">
      <c r="A75" s="160"/>
      <c r="B75" s="7"/>
      <c r="C75" s="162" t="s">
        <v>519</v>
      </c>
      <c r="D75" s="159"/>
      <c r="E75" s="8"/>
      <c r="F75" s="48"/>
      <c r="G75" s="33"/>
    </row>
    <row r="76" spans="1:7">
      <c r="A76" s="160"/>
      <c r="B76" s="7"/>
      <c r="C76" s="161"/>
      <c r="D76" s="159"/>
      <c r="E76" s="8"/>
      <c r="F76" s="48"/>
      <c r="G76" s="33"/>
    </row>
    <row r="77" spans="1:7">
      <c r="A77" s="163">
        <v>9.1</v>
      </c>
      <c r="B77" s="7"/>
      <c r="C77" s="162" t="s">
        <v>520</v>
      </c>
      <c r="D77" s="159" t="s">
        <v>486</v>
      </c>
      <c r="E77" s="8">
        <v>1</v>
      </c>
      <c r="F77" s="48">
        <v>23.61</v>
      </c>
      <c r="G77" s="33">
        <f t="shared" si="0"/>
        <v>23.61</v>
      </c>
    </row>
    <row r="78" spans="1:7">
      <c r="A78" s="160"/>
      <c r="B78" s="7"/>
      <c r="C78" s="162"/>
      <c r="D78" s="159"/>
      <c r="E78" s="8"/>
      <c r="F78" s="48"/>
      <c r="G78" s="33"/>
    </row>
    <row r="79" spans="1:7">
      <c r="A79" s="157">
        <v>10</v>
      </c>
      <c r="B79" s="7"/>
      <c r="C79" s="161" t="s">
        <v>521</v>
      </c>
      <c r="D79" s="159"/>
      <c r="E79" s="8"/>
      <c r="F79" s="48"/>
      <c r="G79" s="33"/>
    </row>
    <row r="80" spans="1:7" ht="27.6">
      <c r="A80" s="160"/>
      <c r="B80" s="7"/>
      <c r="C80" s="162" t="s">
        <v>522</v>
      </c>
      <c r="D80" s="159"/>
      <c r="E80" s="8"/>
      <c r="F80" s="48"/>
      <c r="G80" s="33"/>
    </row>
    <row r="81" spans="1:7">
      <c r="A81" s="160"/>
      <c r="B81" s="7"/>
      <c r="C81" s="161"/>
      <c r="D81" s="159"/>
      <c r="E81" s="8"/>
      <c r="F81" s="48"/>
      <c r="G81" s="33"/>
    </row>
    <row r="82" spans="1:7">
      <c r="A82" s="163">
        <v>10.1</v>
      </c>
      <c r="B82" s="7"/>
      <c r="C82" s="162" t="s">
        <v>523</v>
      </c>
      <c r="D82" s="159" t="s">
        <v>524</v>
      </c>
      <c r="E82" s="8">
        <v>1</v>
      </c>
      <c r="F82" s="48">
        <v>9000</v>
      </c>
      <c r="G82" s="33">
        <f t="shared" si="0"/>
        <v>9000</v>
      </c>
    </row>
    <row r="83" spans="1:7">
      <c r="A83" s="163"/>
      <c r="B83" s="7"/>
      <c r="C83" s="162"/>
      <c r="D83" s="159"/>
      <c r="E83" s="8"/>
      <c r="F83" s="48"/>
      <c r="G83" s="33"/>
    </row>
    <row r="84" spans="1:7">
      <c r="A84" s="157">
        <v>11</v>
      </c>
      <c r="B84" s="7"/>
      <c r="C84" s="161" t="s">
        <v>525</v>
      </c>
      <c r="D84" s="159"/>
      <c r="E84" s="8"/>
      <c r="F84" s="48"/>
      <c r="G84" s="33"/>
    </row>
    <row r="85" spans="1:7">
      <c r="A85" s="160"/>
      <c r="B85" s="7"/>
      <c r="C85" s="162" t="s">
        <v>526</v>
      </c>
      <c r="D85" s="159"/>
      <c r="E85" s="8"/>
      <c r="F85" s="48"/>
      <c r="G85" s="33"/>
    </row>
    <row r="86" spans="1:7">
      <c r="A86" s="160"/>
      <c r="B86" s="7"/>
      <c r="C86" s="161"/>
      <c r="D86" s="159"/>
      <c r="E86" s="8"/>
      <c r="F86" s="48"/>
      <c r="G86" s="33"/>
    </row>
    <row r="87" spans="1:7" ht="27.6">
      <c r="A87" s="163">
        <v>11.1</v>
      </c>
      <c r="B87" s="7"/>
      <c r="C87" s="162" t="s">
        <v>527</v>
      </c>
      <c r="D87" s="159" t="s">
        <v>524</v>
      </c>
      <c r="E87" s="8">
        <v>1</v>
      </c>
      <c r="F87" s="48">
        <v>1500</v>
      </c>
      <c r="G87" s="33">
        <f t="shared" si="0"/>
        <v>1500</v>
      </c>
    </row>
    <row r="88" spans="1:7">
      <c r="A88" s="163"/>
      <c r="B88" s="7"/>
      <c r="C88" s="162"/>
      <c r="D88" s="159"/>
      <c r="E88" s="8"/>
      <c r="F88" s="48"/>
      <c r="G88" s="33"/>
    </row>
    <row r="89" spans="1:7">
      <c r="A89" s="163"/>
      <c r="B89" s="7"/>
      <c r="C89" s="162"/>
      <c r="D89" s="159"/>
      <c r="E89" s="8"/>
      <c r="F89" s="48"/>
      <c r="G89" s="33"/>
    </row>
    <row r="90" spans="1:7">
      <c r="A90" s="163"/>
      <c r="B90" s="7"/>
      <c r="C90" s="162"/>
      <c r="D90" s="159"/>
      <c r="E90" s="8"/>
      <c r="F90" s="48"/>
      <c r="G90" s="33"/>
    </row>
    <row r="91" spans="1:7" ht="14.4" thickBot="1">
      <c r="A91" s="163"/>
      <c r="B91" s="7"/>
      <c r="C91" s="162"/>
      <c r="D91" s="159"/>
      <c r="E91" s="8"/>
      <c r="F91" s="48"/>
      <c r="G91" s="33"/>
    </row>
    <row r="92" spans="1:7" ht="14.4" thickBot="1">
      <c r="A92" s="2245" t="s">
        <v>139</v>
      </c>
      <c r="B92" s="2246"/>
      <c r="C92" s="2246"/>
      <c r="D92" s="2246"/>
      <c r="E92" s="2246"/>
      <c r="F92" s="2247"/>
      <c r="G92" s="37">
        <f>SUM(G70:G91)</f>
        <v>67359.429999999993</v>
      </c>
    </row>
  </sheetData>
  <mergeCells count="16">
    <mergeCell ref="F7:F8"/>
    <mergeCell ref="G7:G8"/>
    <mergeCell ref="A92:F92"/>
    <mergeCell ref="A66:E66"/>
    <mergeCell ref="C68:C69"/>
    <mergeCell ref="D68:D69"/>
    <mergeCell ref="E68:E69"/>
    <mergeCell ref="F68:F69"/>
    <mergeCell ref="G68:G69"/>
    <mergeCell ref="A70:F70"/>
    <mergeCell ref="E7:E8"/>
    <mergeCell ref="A4:D4"/>
    <mergeCell ref="A7:A8"/>
    <mergeCell ref="B7:B8"/>
    <mergeCell ref="C7:C8"/>
    <mergeCell ref="D7:D8"/>
  </mergeCells>
  <pageMargins left="0.70866141732283472" right="0.70866141732283472" top="0.74803149606299213" bottom="0.74803149606299213" header="0.31496062992125984" footer="0.31496062992125984"/>
  <pageSetup paperSize="9" scale="64" fitToHeight="0" orientation="portrait" r:id="rId1"/>
  <headerFooter scaleWithDoc="0" alignWithMargins="0">
    <oddHeader>&amp;C&amp;"Arial Narrow,Regular"&amp;10C39.&amp;P</oddHeader>
    <oddFooter>&amp;L&amp;"Arial Narrow,Regular"Giyani Waste Disposal Site Development</oddFooter>
  </headerFooter>
  <rowBreaks count="1" manualBreakCount="1">
    <brk id="6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8"/>
  <sheetViews>
    <sheetView view="pageBreakPreview" topLeftCell="A280" zoomScale="93" zoomScaleNormal="100" zoomScaleSheetLayoutView="93" workbookViewId="0">
      <selection activeCell="C170" sqref="C170"/>
    </sheetView>
  </sheetViews>
  <sheetFormatPr defaultColWidth="9.109375" defaultRowHeight="13.8"/>
  <cols>
    <col min="1" max="1" width="14.33203125" style="100" customWidth="1"/>
    <col min="2" max="2" width="14.33203125" style="99" customWidth="1"/>
    <col min="3" max="3" width="80" style="99" bestFit="1" customWidth="1"/>
    <col min="4" max="4" width="9.109375" style="100"/>
    <col min="5" max="5" width="13.5546875" style="100" customWidth="1"/>
    <col min="6" max="6" width="11.109375" style="100" customWidth="1"/>
    <col min="7" max="7" width="14.5546875" style="100" customWidth="1"/>
    <col min="8" max="16384" width="9.109375" style="99"/>
  </cols>
  <sheetData>
    <row r="1" spans="1:7">
      <c r="A1" s="130" t="str">
        <f>'1-P&amp;G''s '!A1</f>
        <v>GREATER LETABA MUNICIPALITY</v>
      </c>
      <c r="B1" s="130"/>
      <c r="C1" s="130"/>
      <c r="D1" s="35"/>
      <c r="E1" s="88"/>
      <c r="F1" s="82"/>
      <c r="G1" s="85"/>
    </row>
    <row r="2" spans="1:7">
      <c r="A2" s="130" t="str">
        <f>'1-P&amp;G''s '!A2</f>
        <v>CONTRACT NUMBER: GLM015/2025</v>
      </c>
      <c r="B2" s="130"/>
      <c r="C2" s="130"/>
      <c r="D2" s="1"/>
      <c r="E2" s="89"/>
      <c r="F2" s="98"/>
      <c r="G2" s="85"/>
    </row>
    <row r="3" spans="1:7">
      <c r="A3" s="130" t="str">
        <f>'1-P&amp;G''s '!A3</f>
        <v>CONSTRUCTION OF MAPHALLE LANDFILL SITE PH2</v>
      </c>
      <c r="B3" s="130"/>
      <c r="C3" s="135"/>
      <c r="D3" s="35"/>
      <c r="E3" s="88"/>
      <c r="F3" s="82"/>
      <c r="G3" s="85"/>
    </row>
    <row r="4" spans="1:7">
      <c r="A4" s="2248"/>
      <c r="B4" s="2248"/>
      <c r="C4" s="2248"/>
      <c r="D4" s="2248"/>
      <c r="E4" s="88"/>
      <c r="F4" s="82"/>
      <c r="G4" s="85"/>
    </row>
    <row r="5" spans="1:7">
      <c r="A5" s="130" t="s">
        <v>558</v>
      </c>
      <c r="B5" s="130"/>
      <c r="C5" s="130"/>
      <c r="D5" s="1"/>
      <c r="E5" s="89"/>
      <c r="F5" s="82"/>
      <c r="G5" s="85"/>
    </row>
    <row r="6" spans="1:7" ht="14.4" thickBot="1">
      <c r="A6" s="35"/>
      <c r="B6" s="35"/>
      <c r="C6" s="2"/>
      <c r="D6" s="35"/>
      <c r="E6" s="88"/>
      <c r="F6" s="82"/>
      <c r="G6" s="85"/>
    </row>
    <row r="7" spans="1:7">
      <c r="A7" s="2142" t="s">
        <v>111</v>
      </c>
      <c r="B7" s="2142" t="s">
        <v>112</v>
      </c>
      <c r="C7" s="2260" t="s">
        <v>2</v>
      </c>
      <c r="D7" s="2262" t="s">
        <v>3</v>
      </c>
      <c r="E7" s="2268" t="s">
        <v>4</v>
      </c>
      <c r="F7" s="2264" t="s">
        <v>5</v>
      </c>
      <c r="G7" s="2266" t="s">
        <v>6</v>
      </c>
    </row>
    <row r="8" spans="1:7" ht="14.4" thickBot="1">
      <c r="A8" s="2259"/>
      <c r="B8" s="2259"/>
      <c r="C8" s="2261"/>
      <c r="D8" s="2263"/>
      <c r="E8" s="2269"/>
      <c r="F8" s="2265"/>
      <c r="G8" s="2267"/>
    </row>
    <row r="9" spans="1:7">
      <c r="A9" s="114"/>
      <c r="B9" s="114"/>
      <c r="C9" s="149"/>
      <c r="D9" s="114"/>
      <c r="E9" s="119"/>
      <c r="F9" s="118"/>
      <c r="G9" s="150"/>
    </row>
    <row r="10" spans="1:7">
      <c r="A10" s="115"/>
      <c r="B10" s="132"/>
      <c r="C10" s="151" t="s">
        <v>461</v>
      </c>
      <c r="D10" s="110"/>
      <c r="E10" s="107"/>
      <c r="F10" s="105"/>
      <c r="G10" s="103"/>
    </row>
    <row r="11" spans="1:7">
      <c r="A11" s="110"/>
      <c r="B11" s="110"/>
      <c r="C11" s="134"/>
      <c r="D11" s="110"/>
      <c r="E11" s="107"/>
      <c r="F11" s="105"/>
      <c r="G11" s="103"/>
    </row>
    <row r="12" spans="1:7">
      <c r="A12" s="110"/>
      <c r="B12" s="110"/>
      <c r="C12" s="121" t="s">
        <v>462</v>
      </c>
      <c r="D12" s="110"/>
      <c r="E12" s="107"/>
      <c r="F12" s="105"/>
      <c r="G12" s="103"/>
    </row>
    <row r="13" spans="1:7" ht="14.25" customHeight="1">
      <c r="A13" s="116"/>
      <c r="B13" s="110"/>
      <c r="C13" s="121" t="s">
        <v>463</v>
      </c>
      <c r="D13" s="111"/>
      <c r="E13" s="107"/>
      <c r="F13" s="117"/>
      <c r="G13" s="103"/>
    </row>
    <row r="14" spans="1:7">
      <c r="A14" s="116"/>
      <c r="B14" s="110"/>
      <c r="C14" s="121"/>
      <c r="D14" s="110"/>
      <c r="E14" s="107"/>
      <c r="F14" s="105"/>
      <c r="G14" s="103"/>
    </row>
    <row r="15" spans="1:7">
      <c r="A15" s="116"/>
      <c r="B15" s="121"/>
      <c r="C15" s="121" t="s">
        <v>223</v>
      </c>
      <c r="D15" s="110"/>
      <c r="E15" s="107"/>
      <c r="F15" s="105"/>
      <c r="G15" s="103"/>
    </row>
    <row r="16" spans="1:7" ht="16.2">
      <c r="A16" s="122">
        <v>1</v>
      </c>
      <c r="B16" s="121"/>
      <c r="C16" s="121" t="s">
        <v>224</v>
      </c>
      <c r="D16" s="110" t="s">
        <v>118</v>
      </c>
      <c r="E16" s="123">
        <f>10.575*9.575</f>
        <v>101.25562499999998</v>
      </c>
      <c r="F16" s="123">
        <v>12</v>
      </c>
      <c r="G16" s="103">
        <f>E16*F16</f>
        <v>1215.0674999999997</v>
      </c>
    </row>
    <row r="17" spans="1:7">
      <c r="A17" s="122"/>
      <c r="B17" s="121"/>
      <c r="C17" s="121" t="s">
        <v>225</v>
      </c>
      <c r="D17" s="122"/>
      <c r="E17" s="123"/>
      <c r="F17" s="123"/>
      <c r="G17" s="103"/>
    </row>
    <row r="18" spans="1:7">
      <c r="A18" s="122"/>
      <c r="B18" s="121"/>
      <c r="C18" s="121" t="s">
        <v>226</v>
      </c>
      <c r="D18" s="122"/>
      <c r="E18" s="123"/>
      <c r="F18" s="123"/>
      <c r="G18" s="103"/>
    </row>
    <row r="19" spans="1:7">
      <c r="A19" s="122"/>
      <c r="B19" s="121"/>
      <c r="C19" s="121" t="s">
        <v>227</v>
      </c>
      <c r="D19" s="122"/>
      <c r="E19" s="123"/>
      <c r="F19" s="123"/>
      <c r="G19" s="103"/>
    </row>
    <row r="20" spans="1:7">
      <c r="A20" s="122"/>
      <c r="B20" s="121"/>
      <c r="C20" s="121"/>
      <c r="D20" s="122"/>
      <c r="E20" s="123"/>
      <c r="F20" s="123"/>
      <c r="G20" s="103"/>
    </row>
    <row r="21" spans="1:7" ht="16.2">
      <c r="A21" s="122">
        <v>2</v>
      </c>
      <c r="B21" s="121"/>
      <c r="C21" s="121" t="s">
        <v>464</v>
      </c>
      <c r="D21" s="112" t="s">
        <v>113</v>
      </c>
      <c r="E21" s="123">
        <f>(4.73*0.6*1*3)+(3.68*0.6*1*3)+(1.5*0.6*1)+(3.4*0.6*1)</f>
        <v>18.077999999999999</v>
      </c>
      <c r="F21" s="123">
        <v>68</v>
      </c>
      <c r="G21" s="103">
        <f t="shared" ref="G21:G83" si="0">E21*F21</f>
        <v>1229.3039999999999</v>
      </c>
    </row>
    <row r="22" spans="1:7">
      <c r="A22" s="122"/>
      <c r="B22" s="121"/>
      <c r="C22" s="121"/>
      <c r="D22" s="112"/>
      <c r="E22" s="123"/>
      <c r="F22" s="123"/>
      <c r="G22" s="103"/>
    </row>
    <row r="23" spans="1:7" ht="16.2">
      <c r="A23" s="122">
        <v>3</v>
      </c>
      <c r="B23" s="121"/>
      <c r="C23" s="121" t="s">
        <v>229</v>
      </c>
      <c r="D23" s="112" t="s">
        <v>113</v>
      </c>
      <c r="E23" s="124"/>
      <c r="F23" s="123"/>
      <c r="G23" s="103"/>
    </row>
    <row r="24" spans="1:7">
      <c r="A24" s="122"/>
      <c r="B24" s="121"/>
      <c r="C24" s="121"/>
      <c r="D24" s="112"/>
      <c r="E24" s="124"/>
      <c r="F24" s="123"/>
      <c r="G24" s="103"/>
    </row>
    <row r="25" spans="1:7" ht="16.2">
      <c r="A25" s="122">
        <v>4</v>
      </c>
      <c r="B25" s="121"/>
      <c r="C25" s="121" t="s">
        <v>465</v>
      </c>
      <c r="D25" s="112" t="s">
        <v>113</v>
      </c>
      <c r="E25" s="123">
        <f>E21*10%</f>
        <v>1.8078000000000001</v>
      </c>
      <c r="F25" s="123">
        <v>190</v>
      </c>
      <c r="G25" s="103">
        <f t="shared" si="0"/>
        <v>343.48200000000003</v>
      </c>
    </row>
    <row r="26" spans="1:7" ht="16.2">
      <c r="A26" s="122">
        <v>5</v>
      </c>
      <c r="B26" s="121"/>
      <c r="C26" s="121" t="s">
        <v>466</v>
      </c>
      <c r="D26" s="112" t="s">
        <v>113</v>
      </c>
      <c r="E26" s="123">
        <f>E21*10%</f>
        <v>1.8078000000000001</v>
      </c>
      <c r="F26" s="123">
        <v>370</v>
      </c>
      <c r="G26" s="103">
        <f t="shared" si="0"/>
        <v>668.88600000000008</v>
      </c>
    </row>
    <row r="27" spans="1:7">
      <c r="A27" s="122"/>
      <c r="B27" s="121"/>
      <c r="C27" s="121"/>
      <c r="D27" s="112"/>
      <c r="E27" s="123"/>
      <c r="F27" s="123"/>
      <c r="G27" s="103"/>
    </row>
    <row r="28" spans="1:7">
      <c r="A28" s="122"/>
      <c r="B28" s="121"/>
      <c r="C28" s="121" t="s">
        <v>232</v>
      </c>
      <c r="D28" s="122"/>
      <c r="E28" s="123"/>
      <c r="F28" s="123"/>
      <c r="G28" s="103"/>
    </row>
    <row r="29" spans="1:7" ht="16.2">
      <c r="A29" s="122">
        <v>7</v>
      </c>
      <c r="B29" s="121"/>
      <c r="C29" s="121" t="s">
        <v>233</v>
      </c>
      <c r="D29" s="110" t="s">
        <v>118</v>
      </c>
      <c r="E29" s="123">
        <f>E21*3</f>
        <v>54.233999999999995</v>
      </c>
      <c r="F29" s="123">
        <v>10</v>
      </c>
      <c r="G29" s="103">
        <f t="shared" si="0"/>
        <v>542.33999999999992</v>
      </c>
    </row>
    <row r="30" spans="1:7">
      <c r="A30" s="122"/>
      <c r="B30" s="121"/>
      <c r="C30" s="121"/>
      <c r="D30" s="110"/>
      <c r="E30" s="123"/>
      <c r="F30" s="123"/>
      <c r="G30" s="103"/>
    </row>
    <row r="31" spans="1:7">
      <c r="A31" s="122"/>
      <c r="B31" s="121"/>
      <c r="C31" s="121" t="s">
        <v>234</v>
      </c>
      <c r="D31" s="122"/>
      <c r="E31" s="123"/>
      <c r="F31" s="123"/>
      <c r="G31" s="103"/>
    </row>
    <row r="32" spans="1:7">
      <c r="A32" s="122">
        <v>8</v>
      </c>
      <c r="B32" s="121"/>
      <c r="C32" s="121" t="s">
        <v>235</v>
      </c>
      <c r="D32" s="122" t="s">
        <v>239</v>
      </c>
      <c r="E32" s="123">
        <v>1</v>
      </c>
      <c r="F32" s="123">
        <v>1500</v>
      </c>
      <c r="G32" s="103">
        <f t="shared" si="0"/>
        <v>1500</v>
      </c>
    </row>
    <row r="33" spans="1:7">
      <c r="A33" s="122"/>
      <c r="B33" s="121"/>
      <c r="C33" s="121"/>
      <c r="D33" s="122"/>
      <c r="E33" s="123"/>
      <c r="F33" s="123"/>
      <c r="G33" s="103"/>
    </row>
    <row r="34" spans="1:7">
      <c r="A34" s="122"/>
      <c r="B34" s="121"/>
      <c r="C34" s="121" t="s">
        <v>236</v>
      </c>
      <c r="D34" s="122"/>
      <c r="E34" s="123"/>
      <c r="F34" s="123"/>
      <c r="G34" s="103"/>
    </row>
    <row r="35" spans="1:7">
      <c r="A35" s="122"/>
      <c r="B35" s="121"/>
      <c r="C35" s="121" t="s">
        <v>237</v>
      </c>
      <c r="D35" s="122"/>
      <c r="E35" s="123"/>
      <c r="F35" s="123"/>
      <c r="G35" s="103"/>
    </row>
    <row r="36" spans="1:7">
      <c r="A36" s="122"/>
      <c r="B36" s="121"/>
      <c r="C36" s="121" t="s">
        <v>238</v>
      </c>
      <c r="D36" s="122"/>
      <c r="E36" s="123"/>
      <c r="F36" s="123"/>
      <c r="G36" s="103"/>
    </row>
    <row r="37" spans="1:7">
      <c r="A37" s="122"/>
      <c r="B37" s="121"/>
      <c r="C37" s="121"/>
      <c r="D37" s="122"/>
      <c r="E37" s="123"/>
      <c r="F37" s="123"/>
      <c r="G37" s="103"/>
    </row>
    <row r="38" spans="1:7" ht="16.2">
      <c r="A38" s="122">
        <v>9</v>
      </c>
      <c r="B38" s="121"/>
      <c r="C38" s="121" t="s">
        <v>240</v>
      </c>
      <c r="D38" s="112" t="s">
        <v>113</v>
      </c>
      <c r="E38" s="123">
        <f>((4.73*3.68)+(3.4*1.5))*0.3</f>
        <v>6.7519199999999993</v>
      </c>
      <c r="F38" s="123">
        <v>40</v>
      </c>
      <c r="G38" s="103">
        <f t="shared" si="0"/>
        <v>270.07679999999999</v>
      </c>
    </row>
    <row r="39" spans="1:7">
      <c r="A39" s="122"/>
      <c r="B39" s="121"/>
      <c r="C39" s="121"/>
      <c r="D39" s="112"/>
      <c r="E39" s="123"/>
      <c r="F39" s="123"/>
      <c r="G39" s="103"/>
    </row>
    <row r="40" spans="1:7">
      <c r="A40" s="122"/>
      <c r="B40" s="121"/>
      <c r="C40" s="121" t="s">
        <v>241</v>
      </c>
      <c r="D40" s="122"/>
      <c r="E40" s="123"/>
      <c r="F40" s="123"/>
      <c r="G40" s="103"/>
    </row>
    <row r="41" spans="1:7" ht="16.2">
      <c r="A41" s="122">
        <v>10</v>
      </c>
      <c r="B41" s="121"/>
      <c r="C41" s="121" t="s">
        <v>242</v>
      </c>
      <c r="D41" s="112" t="s">
        <v>113</v>
      </c>
      <c r="E41" s="123">
        <f>3.5*3.5*1</f>
        <v>12.25</v>
      </c>
      <c r="F41" s="123">
        <v>169</v>
      </c>
      <c r="G41" s="103">
        <f t="shared" si="0"/>
        <v>2070.25</v>
      </c>
    </row>
    <row r="42" spans="1:7">
      <c r="A42" s="122"/>
      <c r="B42" s="121"/>
      <c r="C42" s="121"/>
      <c r="D42" s="112"/>
      <c r="E42" s="123"/>
      <c r="F42" s="123"/>
      <c r="G42" s="103"/>
    </row>
    <row r="43" spans="1:7">
      <c r="A43" s="122"/>
      <c r="B43" s="121"/>
      <c r="C43" s="121" t="s">
        <v>243</v>
      </c>
      <c r="D43" s="122"/>
      <c r="E43" s="123"/>
      <c r="F43" s="123"/>
      <c r="G43" s="103"/>
    </row>
    <row r="44" spans="1:7" ht="16.2">
      <c r="A44" s="122">
        <v>11</v>
      </c>
      <c r="B44" s="121"/>
      <c r="C44" s="121" t="s">
        <v>244</v>
      </c>
      <c r="D44" s="112" t="s">
        <v>113</v>
      </c>
      <c r="E44" s="123">
        <f>E21-E38</f>
        <v>11.326080000000001</v>
      </c>
      <c r="F44" s="123">
        <v>65</v>
      </c>
      <c r="G44" s="103">
        <f t="shared" si="0"/>
        <v>736.19520000000011</v>
      </c>
    </row>
    <row r="45" spans="1:7">
      <c r="A45" s="122"/>
      <c r="B45" s="121"/>
      <c r="C45" s="121" t="s">
        <v>245</v>
      </c>
      <c r="D45" s="122"/>
      <c r="E45" s="123"/>
      <c r="F45" s="123"/>
      <c r="G45" s="103"/>
    </row>
    <row r="46" spans="1:7">
      <c r="A46" s="122"/>
      <c r="B46" s="121"/>
      <c r="C46" s="121"/>
      <c r="D46" s="122"/>
      <c r="E46" s="123"/>
      <c r="F46" s="123"/>
      <c r="G46" s="103"/>
    </row>
    <row r="47" spans="1:7">
      <c r="A47" s="122"/>
      <c r="B47" s="121"/>
      <c r="C47" s="121" t="s">
        <v>246</v>
      </c>
      <c r="D47" s="122"/>
      <c r="E47" s="123"/>
      <c r="F47" s="123"/>
      <c r="G47" s="103"/>
    </row>
    <row r="48" spans="1:7" ht="16.2">
      <c r="A48" s="122">
        <v>12</v>
      </c>
      <c r="B48" s="121"/>
      <c r="C48" s="121" t="s">
        <v>247</v>
      </c>
      <c r="D48" s="110" t="s">
        <v>118</v>
      </c>
      <c r="E48" s="123">
        <f>30*20</f>
        <v>600</v>
      </c>
      <c r="F48" s="123">
        <v>45</v>
      </c>
      <c r="G48" s="103">
        <f t="shared" si="0"/>
        <v>27000</v>
      </c>
    </row>
    <row r="49" spans="1:7">
      <c r="A49" s="122"/>
      <c r="B49" s="121"/>
      <c r="C49" s="121" t="s">
        <v>248</v>
      </c>
      <c r="D49" s="122"/>
      <c r="E49" s="123"/>
      <c r="F49" s="123"/>
      <c r="G49" s="103"/>
    </row>
    <row r="50" spans="1:7">
      <c r="A50" s="122"/>
      <c r="B50" s="121"/>
      <c r="C50" s="121" t="s">
        <v>249</v>
      </c>
      <c r="D50" s="122"/>
      <c r="E50" s="123"/>
      <c r="F50" s="123"/>
      <c r="G50" s="103"/>
    </row>
    <row r="51" spans="1:7">
      <c r="A51" s="122"/>
      <c r="B51" s="121"/>
      <c r="C51" s="121" t="s">
        <v>250</v>
      </c>
      <c r="D51" s="122"/>
      <c r="E51" s="123"/>
      <c r="F51" s="123"/>
      <c r="G51" s="103"/>
    </row>
    <row r="52" spans="1:7">
      <c r="A52" s="122"/>
      <c r="B52" s="121"/>
      <c r="C52" s="121" t="s">
        <v>251</v>
      </c>
      <c r="D52" s="122"/>
      <c r="E52" s="123"/>
      <c r="F52" s="123"/>
      <c r="G52" s="103"/>
    </row>
    <row r="53" spans="1:7">
      <c r="A53" s="122">
        <v>13</v>
      </c>
      <c r="B53" s="121"/>
      <c r="C53" s="121" t="s">
        <v>252</v>
      </c>
      <c r="D53" s="122" t="s">
        <v>148</v>
      </c>
      <c r="E53" s="123">
        <v>2</v>
      </c>
      <c r="F53" s="123">
        <v>450</v>
      </c>
      <c r="G53" s="103">
        <f t="shared" si="0"/>
        <v>900</v>
      </c>
    </row>
    <row r="54" spans="1:7">
      <c r="A54" s="122"/>
      <c r="B54" s="121"/>
      <c r="C54" s="121"/>
      <c r="D54" s="122"/>
      <c r="E54" s="123"/>
      <c r="F54" s="123"/>
      <c r="G54" s="103"/>
    </row>
    <row r="55" spans="1:7">
      <c r="A55" s="122"/>
      <c r="B55" s="121"/>
      <c r="C55" s="121" t="s">
        <v>253</v>
      </c>
      <c r="D55" s="122"/>
      <c r="E55" s="123"/>
      <c r="F55" s="123"/>
      <c r="G55" s="103"/>
    </row>
    <row r="56" spans="1:7">
      <c r="A56" s="122"/>
      <c r="B56" s="121"/>
      <c r="C56" s="121" t="s">
        <v>254</v>
      </c>
      <c r="D56" s="122"/>
      <c r="E56" s="123"/>
      <c r="F56" s="123"/>
      <c r="G56" s="103"/>
    </row>
    <row r="57" spans="1:7" ht="16.2">
      <c r="A57" s="122">
        <v>14</v>
      </c>
      <c r="B57" s="121"/>
      <c r="C57" s="121" t="s">
        <v>255</v>
      </c>
      <c r="D57" s="110" t="s">
        <v>118</v>
      </c>
      <c r="E57" s="123">
        <f>E48</f>
        <v>600</v>
      </c>
      <c r="F57" s="123">
        <v>13</v>
      </c>
      <c r="G57" s="103">
        <f t="shared" si="0"/>
        <v>7800</v>
      </c>
    </row>
    <row r="58" spans="1:7">
      <c r="A58" s="122"/>
      <c r="B58" s="121"/>
      <c r="C58" s="121" t="s">
        <v>256</v>
      </c>
      <c r="D58" s="122"/>
      <c r="E58" s="123"/>
      <c r="F58" s="123"/>
      <c r="G58" s="103"/>
    </row>
    <row r="59" spans="1:7">
      <c r="A59" s="122"/>
      <c r="B59" s="121"/>
      <c r="C59" s="121" t="s">
        <v>257</v>
      </c>
      <c r="D59" s="122"/>
      <c r="E59" s="123"/>
      <c r="F59" s="123"/>
      <c r="G59" s="103"/>
    </row>
    <row r="60" spans="1:7" ht="16.2">
      <c r="A60" s="122">
        <v>15</v>
      </c>
      <c r="B60" s="121"/>
      <c r="C60" s="121" t="s">
        <v>258</v>
      </c>
      <c r="D60" s="110" t="s">
        <v>118</v>
      </c>
      <c r="E60" s="123">
        <f>(4.73*0.6*3)+(3.68*0.6*3)+(1.5*0.6*1)+(3.4*0.6*1)+(4.73*1*6)+(3.68*1*6)+(1.5*1*2)+(3.4*1*2)</f>
        <v>78.337999999999994</v>
      </c>
      <c r="F60" s="123">
        <v>13</v>
      </c>
      <c r="G60" s="103">
        <f t="shared" si="0"/>
        <v>1018.3939999999999</v>
      </c>
    </row>
    <row r="61" spans="1:7">
      <c r="A61" s="122"/>
      <c r="B61" s="121"/>
      <c r="C61" s="121"/>
      <c r="D61" s="110"/>
      <c r="E61" s="123"/>
      <c r="F61" s="123"/>
      <c r="G61" s="103"/>
    </row>
    <row r="62" spans="1:7">
      <c r="A62" s="122"/>
      <c r="B62" s="121"/>
      <c r="C62" s="121" t="s">
        <v>259</v>
      </c>
      <c r="D62" s="122"/>
      <c r="E62" s="123"/>
      <c r="F62" s="123"/>
      <c r="G62" s="103"/>
    </row>
    <row r="63" spans="1:7">
      <c r="A63" s="122"/>
      <c r="B63" s="121"/>
      <c r="C63" s="121" t="s">
        <v>260</v>
      </c>
      <c r="D63" s="122"/>
      <c r="E63" s="123"/>
      <c r="F63" s="123"/>
      <c r="G63" s="103"/>
    </row>
    <row r="64" spans="1:7">
      <c r="A64" s="122"/>
      <c r="B64" s="121"/>
      <c r="C64" s="121"/>
      <c r="D64" s="122"/>
      <c r="E64" s="123"/>
      <c r="F64" s="123"/>
      <c r="G64" s="103"/>
    </row>
    <row r="65" spans="1:7">
      <c r="A65" s="122"/>
      <c r="B65" s="121"/>
      <c r="C65" s="121" t="s">
        <v>261</v>
      </c>
      <c r="D65" s="122"/>
      <c r="E65" s="123"/>
      <c r="F65" s="123"/>
      <c r="G65" s="103"/>
    </row>
    <row r="66" spans="1:7" ht="16.2">
      <c r="A66" s="122">
        <v>16</v>
      </c>
      <c r="B66" s="121"/>
      <c r="C66" s="121" t="s">
        <v>262</v>
      </c>
      <c r="D66" s="112" t="s">
        <v>113</v>
      </c>
      <c r="E66" s="123">
        <f>(4.73*0.6*0.25*3)+(3.68*0.6*0.25*3)+(3.4*0.6*0.25)+(1.5*0.6*0.25)</f>
        <v>4.5194999999999999</v>
      </c>
      <c r="F66" s="123">
        <v>1350</v>
      </c>
      <c r="G66" s="103">
        <f t="shared" si="0"/>
        <v>6101.3249999999998</v>
      </c>
    </row>
    <row r="67" spans="1:7">
      <c r="A67" s="122"/>
      <c r="B67" s="121"/>
      <c r="C67" s="121"/>
      <c r="D67" s="112"/>
      <c r="E67" s="123"/>
      <c r="F67" s="123"/>
      <c r="G67" s="103"/>
    </row>
    <row r="68" spans="1:7" ht="16.2">
      <c r="A68" s="122">
        <v>17</v>
      </c>
      <c r="B68" s="121"/>
      <c r="C68" s="121" t="s">
        <v>467</v>
      </c>
      <c r="D68" s="112" t="s">
        <v>113</v>
      </c>
      <c r="E68" s="123"/>
      <c r="F68" s="123"/>
      <c r="G68" s="103"/>
    </row>
    <row r="69" spans="1:7">
      <c r="A69" s="122"/>
      <c r="B69" s="121"/>
      <c r="C69" s="121" t="s">
        <v>468</v>
      </c>
      <c r="D69" s="122"/>
      <c r="E69" s="123"/>
      <c r="F69" s="123"/>
      <c r="G69" s="103"/>
    </row>
    <row r="70" spans="1:7">
      <c r="A70" s="122"/>
      <c r="B70" s="121"/>
      <c r="C70" s="121" t="s">
        <v>469</v>
      </c>
      <c r="D70" s="122"/>
      <c r="E70" s="123"/>
      <c r="F70" s="123"/>
      <c r="G70" s="103"/>
    </row>
    <row r="71" spans="1:7">
      <c r="A71" s="122">
        <v>18</v>
      </c>
      <c r="B71" s="121"/>
      <c r="C71" s="121" t="s">
        <v>470</v>
      </c>
      <c r="D71" s="122" t="s">
        <v>473</v>
      </c>
      <c r="E71" s="123">
        <v>4.8</v>
      </c>
      <c r="F71" s="123">
        <v>15000</v>
      </c>
      <c r="G71" s="103">
        <f t="shared" si="0"/>
        <v>72000</v>
      </c>
    </row>
    <row r="72" spans="1:7">
      <c r="A72" s="122"/>
      <c r="B72" s="121"/>
      <c r="C72" s="121" t="s">
        <v>471</v>
      </c>
      <c r="D72" s="122"/>
      <c r="E72" s="123"/>
      <c r="F72" s="123"/>
      <c r="G72" s="103"/>
    </row>
    <row r="73" spans="1:7">
      <c r="A73" s="122">
        <v>19</v>
      </c>
      <c r="B73" s="121"/>
      <c r="C73" s="152" t="s">
        <v>472</v>
      </c>
      <c r="D73" s="122" t="s">
        <v>473</v>
      </c>
      <c r="E73" s="123">
        <v>2.96</v>
      </c>
      <c r="F73" s="123">
        <v>13000</v>
      </c>
      <c r="G73" s="103">
        <f t="shared" si="0"/>
        <v>38480</v>
      </c>
    </row>
    <row r="74" spans="1:7">
      <c r="A74" s="122"/>
      <c r="B74" s="121"/>
      <c r="C74" s="152"/>
      <c r="D74" s="122"/>
      <c r="E74" s="123"/>
      <c r="F74" s="123"/>
      <c r="G74" s="103"/>
    </row>
    <row r="75" spans="1:7">
      <c r="A75" s="122"/>
      <c r="B75" s="121"/>
      <c r="C75" s="121" t="s">
        <v>265</v>
      </c>
      <c r="D75" s="122"/>
      <c r="E75" s="123"/>
      <c r="F75" s="123"/>
      <c r="G75" s="103"/>
    </row>
    <row r="76" spans="1:7">
      <c r="A76" s="122">
        <v>20</v>
      </c>
      <c r="B76" s="121"/>
      <c r="C76" s="121" t="s">
        <v>266</v>
      </c>
      <c r="D76" s="122" t="s">
        <v>271</v>
      </c>
      <c r="E76" s="123">
        <v>1</v>
      </c>
      <c r="F76" s="123">
        <v>270</v>
      </c>
      <c r="G76" s="103">
        <f t="shared" si="0"/>
        <v>270</v>
      </c>
    </row>
    <row r="77" spans="1:7">
      <c r="A77" s="122"/>
      <c r="B77" s="121"/>
      <c r="C77" s="121" t="s">
        <v>267</v>
      </c>
      <c r="D77" s="122"/>
      <c r="E77" s="123"/>
      <c r="F77" s="123"/>
      <c r="G77" s="103"/>
    </row>
    <row r="78" spans="1:7">
      <c r="A78" s="122"/>
      <c r="B78" s="121"/>
      <c r="C78" s="121" t="s">
        <v>268</v>
      </c>
      <c r="D78" s="122"/>
      <c r="E78" s="123"/>
      <c r="F78" s="123"/>
      <c r="G78" s="103"/>
    </row>
    <row r="79" spans="1:7">
      <c r="A79" s="122"/>
      <c r="B79" s="121"/>
      <c r="C79" s="121" t="s">
        <v>270</v>
      </c>
      <c r="D79" s="122"/>
      <c r="E79" s="123"/>
      <c r="F79" s="123"/>
      <c r="G79" s="103"/>
    </row>
    <row r="80" spans="1:7">
      <c r="A80" s="122"/>
      <c r="B80" s="121"/>
      <c r="C80" s="121"/>
      <c r="D80" s="122"/>
      <c r="E80" s="123"/>
      <c r="F80" s="123"/>
      <c r="G80" s="103"/>
    </row>
    <row r="81" spans="1:7">
      <c r="A81" s="122"/>
      <c r="B81" s="121"/>
      <c r="C81" s="121" t="s">
        <v>272</v>
      </c>
      <c r="D81" s="122"/>
      <c r="E81" s="123"/>
      <c r="F81" s="123"/>
      <c r="G81" s="103"/>
    </row>
    <row r="82" spans="1:7">
      <c r="A82" s="122"/>
      <c r="B82" s="121"/>
      <c r="C82" s="121" t="s">
        <v>273</v>
      </c>
      <c r="D82" s="122"/>
      <c r="E82" s="123"/>
      <c r="F82" s="123"/>
      <c r="G82" s="103"/>
    </row>
    <row r="83" spans="1:7" ht="16.2">
      <c r="A83" s="122">
        <v>21</v>
      </c>
      <c r="B83" s="121"/>
      <c r="C83" s="121" t="s">
        <v>274</v>
      </c>
      <c r="D83" s="110" t="s">
        <v>118</v>
      </c>
      <c r="E83" s="123">
        <f>(4.73*0.8*3)+(3.68*0.8*3)+(3.4*0.8)+(1.5*0.8)+(1.8*0.8)</f>
        <v>25.544000000000004</v>
      </c>
      <c r="F83" s="123">
        <v>480</v>
      </c>
      <c r="G83" s="103">
        <f t="shared" si="0"/>
        <v>12261.120000000003</v>
      </c>
    </row>
    <row r="84" spans="1:7">
      <c r="A84" s="122"/>
      <c r="B84" s="132"/>
      <c r="C84" s="121" t="s">
        <v>259</v>
      </c>
      <c r="D84" s="110"/>
      <c r="E84" s="107"/>
      <c r="F84" s="105"/>
      <c r="G84" s="103"/>
    </row>
    <row r="85" spans="1:7">
      <c r="A85" s="122"/>
      <c r="B85" s="132"/>
      <c r="C85" s="121"/>
      <c r="D85" s="110"/>
      <c r="E85" s="107"/>
      <c r="F85" s="105"/>
      <c r="G85" s="103"/>
    </row>
    <row r="86" spans="1:7" ht="14.4" thickBot="1">
      <c r="A86" s="122"/>
      <c r="B86" s="132"/>
      <c r="C86" s="121"/>
      <c r="D86" s="110"/>
      <c r="E86" s="107"/>
      <c r="F86" s="105"/>
      <c r="G86" s="103"/>
    </row>
    <row r="87" spans="1:7" ht="14.4" thickBot="1">
      <c r="A87" s="2245" t="s">
        <v>276</v>
      </c>
      <c r="B87" s="2246"/>
      <c r="C87" s="2246"/>
      <c r="D87" s="2246"/>
      <c r="E87" s="2246"/>
      <c r="F87" s="2247"/>
      <c r="G87" s="37">
        <f>SUM(G11:G85)</f>
        <v>174406.4405</v>
      </c>
    </row>
    <row r="89" spans="1:7" ht="14.4" thickBot="1"/>
    <row r="90" spans="1:7">
      <c r="A90" s="127" t="s">
        <v>0</v>
      </c>
      <c r="B90" s="127" t="s">
        <v>1</v>
      </c>
      <c r="C90" s="2253" t="s">
        <v>2</v>
      </c>
      <c r="D90" s="2253" t="s">
        <v>3</v>
      </c>
      <c r="E90" s="2255" t="s">
        <v>4</v>
      </c>
      <c r="F90" s="2257" t="s">
        <v>5</v>
      </c>
      <c r="G90" s="2251" t="s">
        <v>6</v>
      </c>
    </row>
    <row r="91" spans="1:7" ht="14.4" thickBot="1">
      <c r="A91" s="128" t="s">
        <v>7</v>
      </c>
      <c r="B91" s="128" t="s">
        <v>8</v>
      </c>
      <c r="C91" s="2254"/>
      <c r="D91" s="2254"/>
      <c r="E91" s="2256"/>
      <c r="F91" s="2258"/>
      <c r="G91" s="2252"/>
    </row>
    <row r="92" spans="1:7" ht="14.4" thickBot="1">
      <c r="A92" s="2145" t="s">
        <v>49</v>
      </c>
      <c r="B92" s="2145"/>
      <c r="C92" s="2145"/>
      <c r="D92" s="2145"/>
      <c r="E92" s="2145"/>
      <c r="F92" s="2145"/>
      <c r="G92" s="126">
        <f>G87</f>
        <v>174406.4405</v>
      </c>
    </row>
    <row r="93" spans="1:7">
      <c r="A93" s="131"/>
      <c r="B93" s="131"/>
      <c r="C93" s="131"/>
      <c r="D93" s="131"/>
      <c r="E93" s="131"/>
      <c r="F93" s="131"/>
      <c r="G93" s="125"/>
    </row>
    <row r="94" spans="1:7">
      <c r="A94" s="122"/>
      <c r="B94" s="132"/>
      <c r="C94" s="121" t="s">
        <v>277</v>
      </c>
      <c r="D94" s="110"/>
      <c r="E94" s="107"/>
      <c r="F94" s="105"/>
      <c r="G94" s="103"/>
    </row>
    <row r="95" spans="1:7">
      <c r="A95" s="122"/>
      <c r="B95" s="132"/>
      <c r="C95" s="121" t="s">
        <v>261</v>
      </c>
      <c r="D95" s="110"/>
      <c r="E95" s="107"/>
      <c r="F95" s="105"/>
      <c r="G95" s="103"/>
    </row>
    <row r="96" spans="1:7" ht="16.2">
      <c r="A96" s="122">
        <v>22</v>
      </c>
      <c r="B96" s="132"/>
      <c r="C96" s="121" t="s">
        <v>279</v>
      </c>
      <c r="D96" s="112" t="s">
        <v>113</v>
      </c>
      <c r="E96" s="123">
        <v>3.1209600000000002</v>
      </c>
      <c r="F96" s="123">
        <v>1350</v>
      </c>
      <c r="G96" s="103">
        <f>E96*F96</f>
        <v>4213.2960000000003</v>
      </c>
    </row>
    <row r="97" spans="1:7" ht="16.2">
      <c r="A97" s="122">
        <v>23</v>
      </c>
      <c r="B97" s="132"/>
      <c r="C97" s="121" t="s">
        <v>474</v>
      </c>
      <c r="D97" s="112" t="s">
        <v>113</v>
      </c>
      <c r="E97" s="123">
        <v>0.72</v>
      </c>
      <c r="F97" s="123">
        <v>1350</v>
      </c>
      <c r="G97" s="103">
        <f t="shared" ref="G97:G106" si="1">E97*F97</f>
        <v>972</v>
      </c>
    </row>
    <row r="98" spans="1:7">
      <c r="A98" s="122"/>
      <c r="B98" s="132"/>
      <c r="C98" s="121" t="s">
        <v>281</v>
      </c>
      <c r="D98" s="122"/>
      <c r="E98" s="123"/>
      <c r="F98" s="123"/>
      <c r="G98" s="103"/>
    </row>
    <row r="99" spans="1:7">
      <c r="A99" s="122"/>
      <c r="B99" s="132"/>
      <c r="C99" s="121" t="s">
        <v>475</v>
      </c>
      <c r="D99" s="122"/>
      <c r="E99" s="123"/>
      <c r="F99" s="123"/>
      <c r="G99" s="103"/>
    </row>
    <row r="100" spans="1:7" ht="16.2">
      <c r="A100" s="122">
        <v>24</v>
      </c>
      <c r="B100" s="132"/>
      <c r="C100" s="121" t="s">
        <v>282</v>
      </c>
      <c r="D100" s="110" t="s">
        <v>118</v>
      </c>
      <c r="E100" s="123">
        <v>600</v>
      </c>
      <c r="F100" s="123">
        <v>52</v>
      </c>
      <c r="G100" s="103">
        <f t="shared" si="1"/>
        <v>31200</v>
      </c>
    </row>
    <row r="101" spans="1:7">
      <c r="A101" s="122"/>
      <c r="B101" s="132"/>
      <c r="C101" s="121" t="s">
        <v>283</v>
      </c>
      <c r="D101" s="122"/>
      <c r="E101" s="123"/>
      <c r="F101" s="123"/>
      <c r="G101" s="103"/>
    </row>
    <row r="102" spans="1:7">
      <c r="A102" s="122"/>
      <c r="B102" s="132"/>
      <c r="C102" s="121" t="s">
        <v>284</v>
      </c>
      <c r="D102" s="122"/>
      <c r="E102" s="123"/>
      <c r="F102" s="123"/>
      <c r="G102" s="103"/>
    </row>
    <row r="103" spans="1:7" ht="16.2">
      <c r="A103" s="122">
        <v>25</v>
      </c>
      <c r="B103" s="132"/>
      <c r="C103" s="121" t="s">
        <v>285</v>
      </c>
      <c r="D103" s="110" t="s">
        <v>118</v>
      </c>
      <c r="E103" s="123">
        <v>600</v>
      </c>
      <c r="F103" s="123">
        <v>35</v>
      </c>
      <c r="G103" s="103">
        <f>E103*F103</f>
        <v>21000</v>
      </c>
    </row>
    <row r="104" spans="1:7" ht="16.2">
      <c r="A104" s="122">
        <v>26</v>
      </c>
      <c r="B104" s="132"/>
      <c r="C104" s="121" t="s">
        <v>286</v>
      </c>
      <c r="D104" s="110" t="s">
        <v>118</v>
      </c>
      <c r="E104" s="123">
        <v>4.8</v>
      </c>
      <c r="F104" s="123">
        <v>35</v>
      </c>
      <c r="G104" s="103">
        <f t="shared" si="1"/>
        <v>168</v>
      </c>
    </row>
    <row r="105" spans="1:7">
      <c r="A105" s="122"/>
      <c r="B105" s="132"/>
      <c r="C105" s="121" t="s">
        <v>265</v>
      </c>
      <c r="D105" s="122"/>
      <c r="E105" s="123"/>
      <c r="F105" s="123"/>
      <c r="G105" s="103"/>
    </row>
    <row r="106" spans="1:7">
      <c r="A106" s="122">
        <v>27</v>
      </c>
      <c r="B106" s="132"/>
      <c r="C106" s="121" t="s">
        <v>266</v>
      </c>
      <c r="D106" s="122" t="s">
        <v>271</v>
      </c>
      <c r="E106" s="123">
        <v>4</v>
      </c>
      <c r="F106" s="123">
        <v>270</v>
      </c>
      <c r="G106" s="103">
        <f t="shared" si="1"/>
        <v>1080</v>
      </c>
    </row>
    <row r="107" spans="1:7">
      <c r="A107" s="122"/>
      <c r="B107" s="132"/>
      <c r="C107" s="121" t="s">
        <v>267</v>
      </c>
      <c r="D107" s="110"/>
      <c r="E107" s="107"/>
      <c r="F107" s="105"/>
      <c r="G107" s="103"/>
    </row>
    <row r="108" spans="1:7">
      <c r="A108" s="122"/>
      <c r="B108" s="132"/>
      <c r="C108" s="121" t="s">
        <v>268</v>
      </c>
      <c r="D108" s="110"/>
      <c r="E108" s="108"/>
      <c r="F108" s="105"/>
      <c r="G108" s="103"/>
    </row>
    <row r="109" spans="1:7">
      <c r="A109" s="122"/>
      <c r="B109" s="132"/>
      <c r="C109" s="121" t="s">
        <v>287</v>
      </c>
      <c r="D109" s="110"/>
      <c r="E109" s="108"/>
      <c r="F109" s="105"/>
      <c r="G109" s="103"/>
    </row>
    <row r="110" spans="1:7">
      <c r="A110" s="110"/>
      <c r="B110" s="110"/>
      <c r="C110" s="121" t="s">
        <v>287</v>
      </c>
      <c r="D110" s="110"/>
      <c r="E110" s="107"/>
      <c r="F110" s="105"/>
      <c r="G110" s="103"/>
    </row>
    <row r="111" spans="1:7">
      <c r="A111" s="7"/>
      <c r="B111" s="71"/>
      <c r="C111" s="63"/>
      <c r="D111" s="76"/>
      <c r="E111" s="91"/>
      <c r="F111" s="76"/>
      <c r="G111" s="84"/>
    </row>
    <row r="112" spans="1:7">
      <c r="A112" s="7"/>
      <c r="B112" s="71"/>
      <c r="C112" s="63" t="s">
        <v>288</v>
      </c>
      <c r="D112" s="76"/>
      <c r="E112" s="92"/>
      <c r="F112" s="78"/>
      <c r="G112" s="86"/>
    </row>
    <row r="113" spans="1:7">
      <c r="A113" s="7"/>
      <c r="B113" s="71"/>
      <c r="C113" s="63"/>
      <c r="D113" s="76"/>
      <c r="E113" s="92"/>
      <c r="F113" s="78"/>
      <c r="G113" s="86"/>
    </row>
    <row r="114" spans="1:7">
      <c r="A114" s="7"/>
      <c r="B114" s="71"/>
      <c r="C114" s="63" t="s">
        <v>476</v>
      </c>
      <c r="D114" s="25"/>
      <c r="E114" s="92"/>
      <c r="F114" s="79"/>
      <c r="G114" s="86"/>
    </row>
    <row r="115" spans="1:7">
      <c r="A115" s="7"/>
      <c r="B115" s="71"/>
      <c r="C115" s="63" t="s">
        <v>273</v>
      </c>
      <c r="D115" s="25"/>
      <c r="E115" s="91"/>
      <c r="F115" s="77"/>
      <c r="G115" s="86"/>
    </row>
    <row r="116" spans="1:7" ht="16.2">
      <c r="A116" s="136">
        <v>28</v>
      </c>
      <c r="B116" s="71"/>
      <c r="C116" s="63" t="s">
        <v>290</v>
      </c>
      <c r="D116" s="7" t="s">
        <v>118</v>
      </c>
      <c r="E116" s="137">
        <f>(4.73*2.64*1)+(3.68*2.64*1)+(3.4*2.64)+(1.8*2.64*2)</f>
        <v>40.682400000000001</v>
      </c>
      <c r="F116" s="137">
        <v>340</v>
      </c>
      <c r="G116" s="86">
        <f>E116*F116</f>
        <v>13832.016</v>
      </c>
    </row>
    <row r="117" spans="1:7" ht="16.2">
      <c r="A117" s="136">
        <v>29</v>
      </c>
      <c r="B117" s="71"/>
      <c r="C117" s="63" t="s">
        <v>291</v>
      </c>
      <c r="D117" s="7" t="s">
        <v>118</v>
      </c>
      <c r="E117" s="137">
        <f>(4.73*2.64*2)+(3.68*2.64*2)+(3.4*2.64)+(1.5*2.64)+(1.8*2.64)+(0.5*3.68*1.42*4)</f>
        <v>72.544000000000011</v>
      </c>
      <c r="F117" s="137">
        <v>480</v>
      </c>
      <c r="G117" s="86">
        <f t="shared" ref="G117:G138" si="2">E117*F117</f>
        <v>34821.120000000003</v>
      </c>
    </row>
    <row r="118" spans="1:7">
      <c r="A118" s="136"/>
      <c r="B118" s="71"/>
      <c r="C118" s="63" t="s">
        <v>292</v>
      </c>
      <c r="D118" s="136"/>
      <c r="E118" s="137"/>
      <c r="F118" s="137"/>
      <c r="G118" s="86"/>
    </row>
    <row r="119" spans="1:7">
      <c r="A119" s="136">
        <v>30</v>
      </c>
      <c r="B119" s="71"/>
      <c r="C119" s="63" t="s">
        <v>293</v>
      </c>
      <c r="D119" s="136" t="s">
        <v>136</v>
      </c>
      <c r="E119" s="137">
        <f>(4.73*5)+(3.68*5)+(3.4*5)+(1.8*5)</f>
        <v>68.050000000000011</v>
      </c>
      <c r="F119" s="137">
        <v>5</v>
      </c>
      <c r="G119" s="86">
        <f t="shared" si="2"/>
        <v>340.25000000000006</v>
      </c>
    </row>
    <row r="120" spans="1:7">
      <c r="A120" s="136">
        <v>31</v>
      </c>
      <c r="B120" s="71"/>
      <c r="C120" s="63" t="s">
        <v>294</v>
      </c>
      <c r="D120" s="136" t="s">
        <v>136</v>
      </c>
      <c r="E120" s="137">
        <f>21.72*5</f>
        <v>108.6</v>
      </c>
      <c r="F120" s="137">
        <v>7</v>
      </c>
      <c r="G120" s="86">
        <f t="shared" si="2"/>
        <v>760.19999999999993</v>
      </c>
    </row>
    <row r="121" spans="1:7">
      <c r="A121" s="136"/>
      <c r="B121" s="71"/>
      <c r="C121" s="63" t="s">
        <v>295</v>
      </c>
      <c r="D121" s="136"/>
      <c r="E121" s="137"/>
      <c r="F121" s="137"/>
      <c r="G121" s="86"/>
    </row>
    <row r="122" spans="1:7">
      <c r="A122" s="136">
        <v>32</v>
      </c>
      <c r="B122" s="71"/>
      <c r="C122" s="63" t="s">
        <v>296</v>
      </c>
      <c r="D122" s="136" t="s">
        <v>136</v>
      </c>
      <c r="E122" s="137">
        <v>2</v>
      </c>
      <c r="F122" s="137">
        <v>65</v>
      </c>
      <c r="G122" s="86">
        <f t="shared" si="2"/>
        <v>130</v>
      </c>
    </row>
    <row r="123" spans="1:7">
      <c r="A123" s="136">
        <v>33</v>
      </c>
      <c r="B123" s="13"/>
      <c r="C123" s="63" t="s">
        <v>297</v>
      </c>
      <c r="D123" s="136"/>
      <c r="E123" s="137"/>
      <c r="F123" s="137"/>
      <c r="G123" s="86"/>
    </row>
    <row r="124" spans="1:7">
      <c r="A124" s="136">
        <v>34</v>
      </c>
      <c r="B124" s="75"/>
      <c r="C124" s="63" t="s">
        <v>298</v>
      </c>
      <c r="D124" s="136" t="s">
        <v>148</v>
      </c>
      <c r="E124" s="137">
        <v>8</v>
      </c>
      <c r="F124" s="137">
        <v>165</v>
      </c>
      <c r="G124" s="86">
        <f t="shared" si="2"/>
        <v>1320</v>
      </c>
    </row>
    <row r="125" spans="1:7">
      <c r="A125" s="136"/>
      <c r="B125" s="13"/>
      <c r="C125" s="63" t="s">
        <v>299</v>
      </c>
      <c r="D125" s="136"/>
      <c r="E125" s="137"/>
      <c r="F125" s="137"/>
      <c r="G125" s="86"/>
    </row>
    <row r="126" spans="1:7">
      <c r="A126" s="136"/>
      <c r="B126" s="75"/>
      <c r="C126" s="63" t="s">
        <v>300</v>
      </c>
      <c r="D126" s="136"/>
      <c r="E126" s="137"/>
      <c r="F126" s="137"/>
      <c r="G126" s="86"/>
    </row>
    <row r="127" spans="1:7">
      <c r="A127" s="136">
        <v>35</v>
      </c>
      <c r="B127" s="13"/>
      <c r="C127" s="63" t="s">
        <v>301</v>
      </c>
      <c r="D127" s="136"/>
      <c r="E127" s="137"/>
      <c r="F127" s="137"/>
      <c r="G127" s="86"/>
    </row>
    <row r="128" spans="1:7">
      <c r="A128" s="136"/>
      <c r="B128" s="75"/>
      <c r="C128" s="63" t="s">
        <v>302</v>
      </c>
      <c r="D128" s="136" t="s">
        <v>148</v>
      </c>
      <c r="E128" s="137">
        <v>10</v>
      </c>
      <c r="F128" s="137">
        <v>25</v>
      </c>
      <c r="G128" s="86">
        <f t="shared" si="2"/>
        <v>250</v>
      </c>
    </row>
    <row r="129" spans="1:7">
      <c r="A129" s="136"/>
      <c r="B129" s="75"/>
      <c r="C129" s="63" t="s">
        <v>303</v>
      </c>
      <c r="D129" s="136"/>
      <c r="E129" s="137"/>
      <c r="F129" s="137"/>
      <c r="G129" s="86"/>
    </row>
    <row r="130" spans="1:7">
      <c r="A130" s="136"/>
      <c r="B130" s="13"/>
      <c r="C130" s="63" t="s">
        <v>304</v>
      </c>
      <c r="D130" s="136"/>
      <c r="E130" s="137"/>
      <c r="F130" s="137"/>
      <c r="G130" s="86"/>
    </row>
    <row r="131" spans="1:7">
      <c r="A131" s="136"/>
      <c r="B131" s="75"/>
      <c r="C131" s="63" t="s">
        <v>306</v>
      </c>
      <c r="D131" s="136"/>
      <c r="E131" s="137"/>
      <c r="F131" s="137"/>
      <c r="G131" s="86"/>
    </row>
    <row r="132" spans="1:7">
      <c r="A132" s="136"/>
      <c r="B132" s="13"/>
      <c r="C132" s="63" t="s">
        <v>307</v>
      </c>
      <c r="D132" s="136"/>
      <c r="E132" s="137"/>
      <c r="F132" s="137"/>
      <c r="G132" s="86"/>
    </row>
    <row r="133" spans="1:7">
      <c r="A133" s="136"/>
      <c r="B133" s="75"/>
      <c r="C133" s="63" t="s">
        <v>308</v>
      </c>
      <c r="D133" s="136"/>
      <c r="E133" s="137"/>
      <c r="F133" s="137"/>
      <c r="G133" s="86"/>
    </row>
    <row r="134" spans="1:7">
      <c r="A134" s="136"/>
      <c r="B134" s="13"/>
      <c r="C134" s="63" t="s">
        <v>309</v>
      </c>
      <c r="D134" s="136"/>
      <c r="E134" s="137"/>
      <c r="F134" s="137"/>
      <c r="G134" s="86"/>
    </row>
    <row r="135" spans="1:7">
      <c r="A135" s="136"/>
      <c r="B135" s="75"/>
      <c r="C135" s="63" t="s">
        <v>310</v>
      </c>
      <c r="D135" s="136"/>
      <c r="E135" s="137"/>
      <c r="F135" s="137"/>
      <c r="G135" s="86"/>
    </row>
    <row r="136" spans="1:7">
      <c r="A136" s="136"/>
      <c r="B136" s="75"/>
      <c r="C136" s="63" t="s">
        <v>311</v>
      </c>
      <c r="D136" s="136"/>
      <c r="E136" s="137"/>
      <c r="F136" s="137"/>
      <c r="G136" s="86"/>
    </row>
    <row r="137" spans="1:7">
      <c r="A137" s="136"/>
      <c r="B137" s="75"/>
      <c r="C137" s="63" t="s">
        <v>312</v>
      </c>
      <c r="D137" s="136"/>
      <c r="E137" s="137"/>
      <c r="F137" s="137"/>
      <c r="G137" s="86"/>
    </row>
    <row r="138" spans="1:7">
      <c r="A138" s="136">
        <v>36</v>
      </c>
      <c r="B138" s="75"/>
      <c r="C138" s="63" t="s">
        <v>313</v>
      </c>
      <c r="D138" s="136" t="s">
        <v>136</v>
      </c>
      <c r="E138" s="137">
        <v>5</v>
      </c>
      <c r="F138" s="137">
        <v>150</v>
      </c>
      <c r="G138" s="86">
        <f t="shared" si="2"/>
        <v>750</v>
      </c>
    </row>
    <row r="139" spans="1:7">
      <c r="A139" s="7"/>
      <c r="B139" s="13"/>
      <c r="C139" s="63"/>
      <c r="D139" s="7"/>
      <c r="E139" s="8"/>
      <c r="F139" s="16"/>
      <c r="G139" s="86"/>
    </row>
    <row r="140" spans="1:7">
      <c r="A140" s="7"/>
      <c r="B140" s="75"/>
      <c r="C140" s="63" t="s">
        <v>314</v>
      </c>
      <c r="D140" s="7"/>
      <c r="E140" s="8"/>
      <c r="F140" s="16"/>
      <c r="G140" s="86"/>
    </row>
    <row r="141" spans="1:7">
      <c r="A141" s="7"/>
      <c r="B141" s="75"/>
      <c r="C141" s="63"/>
      <c r="D141" s="7"/>
      <c r="E141" s="8"/>
      <c r="F141" s="16"/>
      <c r="G141" s="86"/>
    </row>
    <row r="142" spans="1:7">
      <c r="A142" s="7"/>
      <c r="B142" s="13"/>
      <c r="C142" s="63" t="s">
        <v>315</v>
      </c>
      <c r="D142" s="47"/>
      <c r="E142" s="8"/>
      <c r="F142" s="16"/>
      <c r="G142" s="86"/>
    </row>
    <row r="143" spans="1:7">
      <c r="A143" s="7"/>
      <c r="B143" s="75"/>
      <c r="C143" s="63" t="s">
        <v>316</v>
      </c>
      <c r="D143" s="7"/>
      <c r="E143" s="8"/>
      <c r="F143" s="16"/>
      <c r="G143" s="86"/>
    </row>
    <row r="144" spans="1:7">
      <c r="A144" s="7"/>
      <c r="B144" s="13"/>
      <c r="C144" s="63" t="s">
        <v>317</v>
      </c>
      <c r="D144" s="7"/>
      <c r="E144" s="8"/>
      <c r="F144" s="49"/>
      <c r="G144" s="86"/>
    </row>
    <row r="145" spans="1:7" ht="16.2">
      <c r="A145" s="7">
        <v>37</v>
      </c>
      <c r="B145" s="75"/>
      <c r="C145" s="63" t="s">
        <v>318</v>
      </c>
      <c r="D145" s="7" t="s">
        <v>118</v>
      </c>
      <c r="E145" s="137">
        <f>33.7*0.27</f>
        <v>9.099000000000002</v>
      </c>
      <c r="F145" s="16">
        <v>27</v>
      </c>
      <c r="G145" s="86">
        <f>E145*F145</f>
        <v>245.67300000000006</v>
      </c>
    </row>
    <row r="146" spans="1:7">
      <c r="A146" s="4"/>
      <c r="B146" s="13"/>
      <c r="C146" s="63" t="s">
        <v>319</v>
      </c>
      <c r="D146" s="137"/>
      <c r="E146" s="137"/>
      <c r="F146" s="16"/>
      <c r="G146" s="86"/>
    </row>
    <row r="147" spans="1:7">
      <c r="A147" s="7"/>
      <c r="B147" s="75"/>
      <c r="C147" s="63" t="s">
        <v>320</v>
      </c>
      <c r="D147" s="137"/>
      <c r="E147" s="137"/>
      <c r="F147" s="16"/>
      <c r="G147" s="86"/>
    </row>
    <row r="148" spans="1:7">
      <c r="A148" s="7"/>
      <c r="B148" s="75"/>
      <c r="C148" s="63" t="s">
        <v>321</v>
      </c>
      <c r="D148" s="137"/>
      <c r="E148" s="137"/>
      <c r="F148" s="16"/>
      <c r="G148" s="86"/>
    </row>
    <row r="149" spans="1:7" ht="16.2">
      <c r="A149" s="7">
        <v>38</v>
      </c>
      <c r="B149" s="13"/>
      <c r="C149" s="63" t="s">
        <v>322</v>
      </c>
      <c r="D149" s="7" t="s">
        <v>118</v>
      </c>
      <c r="E149" s="137">
        <f>E103</f>
        <v>600</v>
      </c>
      <c r="F149" s="16">
        <v>27</v>
      </c>
      <c r="G149" s="86">
        <f>E149*F149</f>
        <v>16200</v>
      </c>
    </row>
    <row r="150" spans="1:7" ht="16.2">
      <c r="A150" s="7">
        <v>39</v>
      </c>
      <c r="B150" s="75"/>
      <c r="C150" s="63" t="s">
        <v>323</v>
      </c>
      <c r="D150" s="7" t="s">
        <v>118</v>
      </c>
      <c r="E150" s="137">
        <v>650</v>
      </c>
      <c r="F150" s="16">
        <v>27</v>
      </c>
      <c r="G150" s="86">
        <f>E150*F150</f>
        <v>17550</v>
      </c>
    </row>
    <row r="151" spans="1:7">
      <c r="A151" s="7"/>
      <c r="B151" s="75"/>
      <c r="C151" s="63"/>
      <c r="D151" s="7"/>
      <c r="E151" s="137"/>
      <c r="F151" s="16"/>
      <c r="G151" s="86"/>
    </row>
    <row r="152" spans="1:7">
      <c r="A152" s="7"/>
      <c r="B152" s="75"/>
      <c r="C152" s="63" t="s">
        <v>324</v>
      </c>
      <c r="D152" s="7"/>
      <c r="E152" s="8"/>
      <c r="F152" s="16"/>
      <c r="G152" s="86"/>
    </row>
    <row r="153" spans="1:7">
      <c r="A153" s="7"/>
      <c r="B153" s="75"/>
      <c r="C153" s="63"/>
      <c r="D153" s="7"/>
      <c r="E153" s="8"/>
      <c r="F153" s="16"/>
      <c r="G153" s="86"/>
    </row>
    <row r="154" spans="1:7">
      <c r="A154" s="7"/>
      <c r="B154" s="75"/>
      <c r="C154" s="63" t="s">
        <v>325</v>
      </c>
      <c r="D154" s="7"/>
      <c r="E154" s="8"/>
      <c r="F154" s="16"/>
      <c r="G154" s="86"/>
    </row>
    <row r="155" spans="1:7">
      <c r="A155" s="7"/>
      <c r="B155" s="75"/>
      <c r="C155" s="63" t="s">
        <v>326</v>
      </c>
      <c r="D155" s="7"/>
      <c r="E155" s="8"/>
      <c r="F155" s="16"/>
      <c r="G155" s="86"/>
    </row>
    <row r="156" spans="1:7">
      <c r="A156" s="136">
        <v>40</v>
      </c>
      <c r="B156" s="75"/>
      <c r="C156" s="63" t="s">
        <v>327</v>
      </c>
      <c r="D156" s="136" t="s">
        <v>136</v>
      </c>
      <c r="E156" s="137">
        <v>4.7300000000000004</v>
      </c>
      <c r="F156" s="137">
        <v>48</v>
      </c>
      <c r="G156" s="86">
        <f>E156*F156</f>
        <v>227.04000000000002</v>
      </c>
    </row>
    <row r="157" spans="1:7">
      <c r="A157" s="136"/>
      <c r="B157" s="75"/>
      <c r="C157" s="63" t="s">
        <v>328</v>
      </c>
      <c r="D157" s="136"/>
      <c r="E157" s="137"/>
      <c r="F157" s="137"/>
      <c r="G157" s="86"/>
    </row>
    <row r="158" spans="1:7" ht="16.2">
      <c r="A158" s="136">
        <v>41</v>
      </c>
      <c r="B158" s="75"/>
      <c r="C158" s="63" t="s">
        <v>329</v>
      </c>
      <c r="D158" s="7" t="s">
        <v>118</v>
      </c>
      <c r="E158" s="137">
        <v>26.8</v>
      </c>
      <c r="F158" s="137">
        <v>28</v>
      </c>
      <c r="G158" s="86">
        <f t="shared" ref="G158:G171" si="3">E158*F158</f>
        <v>750.4</v>
      </c>
    </row>
    <row r="159" spans="1:7">
      <c r="A159" s="136"/>
      <c r="B159" s="75"/>
      <c r="C159" s="63" t="s">
        <v>330</v>
      </c>
      <c r="D159" s="136"/>
      <c r="E159" s="137"/>
      <c r="F159" s="137"/>
      <c r="G159" s="86"/>
    </row>
    <row r="160" spans="1:7">
      <c r="A160" s="136"/>
      <c r="B160" s="75"/>
      <c r="C160" s="63" t="s">
        <v>331</v>
      </c>
      <c r="D160" s="136"/>
      <c r="E160" s="137"/>
      <c r="F160" s="137"/>
      <c r="G160" s="86"/>
    </row>
    <row r="161" spans="1:7">
      <c r="A161" s="136">
        <v>42</v>
      </c>
      <c r="B161" s="75"/>
      <c r="C161" s="63" t="s">
        <v>332</v>
      </c>
      <c r="D161" s="136" t="s">
        <v>136</v>
      </c>
      <c r="E161" s="137">
        <f>E156</f>
        <v>4.7300000000000004</v>
      </c>
      <c r="F161" s="137">
        <v>110</v>
      </c>
      <c r="G161" s="86">
        <f t="shared" si="3"/>
        <v>520.30000000000007</v>
      </c>
    </row>
    <row r="162" spans="1:7">
      <c r="A162" s="136"/>
      <c r="B162" s="75"/>
      <c r="C162" s="63" t="s">
        <v>333</v>
      </c>
      <c r="D162" s="136"/>
      <c r="E162" s="137"/>
      <c r="F162" s="137"/>
      <c r="G162" s="86"/>
    </row>
    <row r="163" spans="1:7">
      <c r="A163" s="136"/>
      <c r="B163" s="13"/>
      <c r="C163" s="63" t="s">
        <v>334</v>
      </c>
      <c r="D163" s="136"/>
      <c r="E163" s="137"/>
      <c r="F163" s="137"/>
      <c r="G163" s="86"/>
    </row>
    <row r="164" spans="1:7">
      <c r="A164" s="136"/>
      <c r="B164" s="75"/>
      <c r="C164" s="63" t="s">
        <v>335</v>
      </c>
      <c r="D164" s="136"/>
      <c r="E164" s="137"/>
      <c r="F164" s="137"/>
      <c r="G164" s="86"/>
    </row>
    <row r="165" spans="1:7">
      <c r="A165" s="136"/>
      <c r="B165" s="75"/>
      <c r="C165" s="63" t="s">
        <v>336</v>
      </c>
      <c r="D165" s="136"/>
      <c r="E165" s="137"/>
      <c r="F165" s="137"/>
      <c r="G165" s="86"/>
    </row>
    <row r="166" spans="1:7">
      <c r="A166" s="136"/>
      <c r="B166" s="75"/>
      <c r="C166" s="63" t="s">
        <v>337</v>
      </c>
      <c r="D166" s="136"/>
      <c r="E166" s="137"/>
      <c r="F166" s="137"/>
      <c r="G166" s="86"/>
    </row>
    <row r="167" spans="1:7">
      <c r="A167" s="136"/>
      <c r="B167" s="13"/>
      <c r="C167" s="63" t="s">
        <v>338</v>
      </c>
      <c r="D167" s="136"/>
      <c r="E167" s="137"/>
      <c r="F167" s="137"/>
      <c r="G167" s="86"/>
    </row>
    <row r="168" spans="1:7">
      <c r="A168" s="136">
        <v>43</v>
      </c>
      <c r="B168" s="75"/>
      <c r="C168" s="63" t="s">
        <v>339</v>
      </c>
      <c r="D168" s="136" t="s">
        <v>148</v>
      </c>
      <c r="E168" s="137">
        <v>1</v>
      </c>
      <c r="F168" s="137">
        <v>1400</v>
      </c>
      <c r="G168" s="86">
        <f t="shared" si="3"/>
        <v>1400</v>
      </c>
    </row>
    <row r="169" spans="1:7">
      <c r="A169" s="136"/>
      <c r="B169" s="75"/>
      <c r="C169" s="63" t="s">
        <v>340</v>
      </c>
      <c r="D169" s="136"/>
      <c r="E169" s="137"/>
      <c r="F169" s="137"/>
      <c r="G169" s="86"/>
    </row>
    <row r="170" spans="1:7">
      <c r="A170" s="136"/>
      <c r="B170" s="75"/>
      <c r="C170" s="63" t="s">
        <v>341</v>
      </c>
      <c r="D170" s="136"/>
      <c r="E170" s="137"/>
      <c r="F170" s="137"/>
      <c r="G170" s="86"/>
    </row>
    <row r="171" spans="1:7">
      <c r="A171" s="136">
        <v>44</v>
      </c>
      <c r="B171" s="75"/>
      <c r="C171" s="63" t="s">
        <v>342</v>
      </c>
      <c r="D171" s="136" t="s">
        <v>148</v>
      </c>
      <c r="E171" s="137">
        <v>4</v>
      </c>
      <c r="F171" s="137">
        <v>1050</v>
      </c>
      <c r="G171" s="86">
        <f t="shared" si="3"/>
        <v>4200</v>
      </c>
    </row>
    <row r="172" spans="1:7">
      <c r="A172" s="7"/>
      <c r="B172" s="75"/>
      <c r="C172" s="63"/>
      <c r="D172" s="7"/>
      <c r="E172" s="8"/>
      <c r="F172" s="49"/>
      <c r="G172" s="86"/>
    </row>
    <row r="173" spans="1:7" ht="14.4" thickBot="1">
      <c r="A173" s="7"/>
      <c r="B173" s="71"/>
      <c r="C173" s="63" t="s">
        <v>477</v>
      </c>
      <c r="D173" s="76"/>
      <c r="E173" s="92"/>
      <c r="F173" s="94"/>
      <c r="G173" s="86"/>
    </row>
    <row r="174" spans="1:7" ht="14.4" thickBot="1">
      <c r="A174" s="2137" t="s">
        <v>48</v>
      </c>
      <c r="B174" s="2138"/>
      <c r="C174" s="2138"/>
      <c r="D174" s="2138"/>
      <c r="E174" s="2141"/>
      <c r="F174" s="50"/>
      <c r="G174" s="17">
        <f>SUM(G92:G172)</f>
        <v>326336.73550000001</v>
      </c>
    </row>
    <row r="175" spans="1:7" ht="14.4" thickBot="1"/>
    <row r="176" spans="1:7">
      <c r="A176" s="127" t="s">
        <v>0</v>
      </c>
      <c r="B176" s="127" t="s">
        <v>1</v>
      </c>
      <c r="C176" s="2253" t="s">
        <v>2</v>
      </c>
      <c r="D176" s="2253" t="s">
        <v>3</v>
      </c>
      <c r="E176" s="2255" t="s">
        <v>4</v>
      </c>
      <c r="F176" s="2257" t="s">
        <v>5</v>
      </c>
      <c r="G176" s="2251" t="s">
        <v>6</v>
      </c>
    </row>
    <row r="177" spans="1:7" ht="14.4" thickBot="1">
      <c r="A177" s="128" t="s">
        <v>7</v>
      </c>
      <c r="B177" s="128" t="s">
        <v>8</v>
      </c>
      <c r="C177" s="2254"/>
      <c r="D177" s="2254"/>
      <c r="E177" s="2256"/>
      <c r="F177" s="2258"/>
      <c r="G177" s="2252"/>
    </row>
    <row r="178" spans="1:7" ht="14.4" thickBot="1">
      <c r="A178" s="2145" t="s">
        <v>49</v>
      </c>
      <c r="B178" s="2145"/>
      <c r="C178" s="2145"/>
      <c r="D178" s="2145"/>
      <c r="E178" s="2145"/>
      <c r="F178" s="2145"/>
      <c r="G178" s="126">
        <f>G174</f>
        <v>326336.73550000001</v>
      </c>
    </row>
    <row r="179" spans="1:7">
      <c r="A179" s="7"/>
      <c r="B179" s="71"/>
      <c r="C179" s="63"/>
      <c r="D179" s="76"/>
      <c r="E179" s="92"/>
      <c r="F179" s="94"/>
      <c r="G179" s="86"/>
    </row>
    <row r="180" spans="1:7">
      <c r="A180" s="7"/>
      <c r="B180" s="71"/>
      <c r="C180" s="63" t="s">
        <v>343</v>
      </c>
      <c r="D180" s="25"/>
      <c r="E180" s="92"/>
      <c r="F180" s="91"/>
      <c r="G180" s="86"/>
    </row>
    <row r="181" spans="1:7">
      <c r="A181" s="7"/>
      <c r="B181" s="71"/>
      <c r="C181" s="63" t="s">
        <v>345</v>
      </c>
      <c r="D181" s="7"/>
      <c r="E181" s="138"/>
      <c r="F181" s="94"/>
      <c r="G181" s="86"/>
    </row>
    <row r="182" spans="1:7" ht="16.2">
      <c r="A182" s="136">
        <v>45</v>
      </c>
      <c r="B182" s="71"/>
      <c r="C182" s="63" t="s">
        <v>346</v>
      </c>
      <c r="D182" s="7" t="s">
        <v>118</v>
      </c>
      <c r="E182" s="137">
        <v>600</v>
      </c>
      <c r="F182" s="137">
        <v>68</v>
      </c>
      <c r="G182" s="86">
        <f>E182*F182</f>
        <v>40800</v>
      </c>
    </row>
    <row r="183" spans="1:7">
      <c r="A183" s="136"/>
      <c r="B183" s="71"/>
      <c r="C183" s="63" t="s">
        <v>347</v>
      </c>
      <c r="D183" s="136"/>
      <c r="E183" s="137"/>
      <c r="F183" s="137"/>
      <c r="G183" s="86"/>
    </row>
    <row r="184" spans="1:7">
      <c r="A184" s="136"/>
      <c r="B184" s="71"/>
      <c r="C184" s="63" t="s">
        <v>326</v>
      </c>
      <c r="D184" s="136"/>
      <c r="E184" s="137"/>
      <c r="F184" s="137"/>
      <c r="G184" s="86"/>
    </row>
    <row r="185" spans="1:7">
      <c r="A185" s="136">
        <v>46</v>
      </c>
      <c r="B185" s="71"/>
      <c r="C185" s="63" t="s">
        <v>348</v>
      </c>
      <c r="D185" s="136" t="s">
        <v>136</v>
      </c>
      <c r="E185" s="137">
        <f>4.73*2</f>
        <v>9.4600000000000009</v>
      </c>
      <c r="F185" s="137">
        <v>48</v>
      </c>
      <c r="G185" s="86">
        <f t="shared" ref="G185:G194" si="4">E185*F185</f>
        <v>454.08000000000004</v>
      </c>
    </row>
    <row r="186" spans="1:7">
      <c r="A186" s="136"/>
      <c r="B186" s="71"/>
      <c r="C186" s="63" t="s">
        <v>349</v>
      </c>
      <c r="D186" s="136"/>
      <c r="E186" s="137"/>
      <c r="F186" s="137"/>
      <c r="G186" s="86"/>
    </row>
    <row r="187" spans="1:7">
      <c r="A187" s="136">
        <v>47</v>
      </c>
      <c r="B187" s="71"/>
      <c r="C187" s="63" t="s">
        <v>350</v>
      </c>
      <c r="D187" s="136" t="s">
        <v>136</v>
      </c>
      <c r="E187" s="137">
        <f>(4.73*6)+(3.68*6)+(3.4*0.8)+(1.8*4)</f>
        <v>60.38000000000001</v>
      </c>
      <c r="F187" s="137">
        <v>40</v>
      </c>
      <c r="G187" s="86">
        <f t="shared" si="4"/>
        <v>2415.2000000000003</v>
      </c>
    </row>
    <row r="188" spans="1:7">
      <c r="A188" s="136"/>
      <c r="B188" s="13"/>
      <c r="C188" s="63" t="s">
        <v>351</v>
      </c>
      <c r="D188" s="136"/>
      <c r="E188" s="137"/>
      <c r="F188" s="137"/>
      <c r="G188" s="86"/>
    </row>
    <row r="189" spans="1:7">
      <c r="A189" s="136"/>
      <c r="B189" s="75"/>
      <c r="C189" s="63" t="s">
        <v>352</v>
      </c>
      <c r="D189" s="136"/>
      <c r="E189" s="137"/>
      <c r="F189" s="137"/>
      <c r="G189" s="86"/>
    </row>
    <row r="190" spans="1:7">
      <c r="A190" s="136"/>
      <c r="B190" s="13"/>
      <c r="C190" s="63" t="s">
        <v>353</v>
      </c>
      <c r="D190" s="136"/>
      <c r="E190" s="137"/>
      <c r="F190" s="137"/>
      <c r="G190" s="86"/>
    </row>
    <row r="191" spans="1:7" ht="16.2">
      <c r="A191" s="136">
        <v>48</v>
      </c>
      <c r="B191" s="75"/>
      <c r="C191" s="63" t="s">
        <v>354</v>
      </c>
      <c r="D191" s="7" t="s">
        <v>118</v>
      </c>
      <c r="E191" s="137">
        <v>600</v>
      </c>
      <c r="F191" s="137">
        <v>198</v>
      </c>
      <c r="G191" s="86">
        <f t="shared" si="4"/>
        <v>118800</v>
      </c>
    </row>
    <row r="192" spans="1:7">
      <c r="A192" s="136"/>
      <c r="B192" s="13"/>
      <c r="C192" s="63" t="s">
        <v>355</v>
      </c>
      <c r="D192" s="136"/>
      <c r="E192" s="137"/>
      <c r="F192" s="137"/>
      <c r="G192" s="86"/>
    </row>
    <row r="193" spans="1:7">
      <c r="A193" s="136"/>
      <c r="B193" s="75"/>
      <c r="C193" s="63" t="s">
        <v>356</v>
      </c>
      <c r="D193" s="136"/>
      <c r="E193" s="137"/>
      <c r="F193" s="137"/>
      <c r="G193" s="86"/>
    </row>
    <row r="194" spans="1:7">
      <c r="A194" s="136">
        <v>49</v>
      </c>
      <c r="B194" s="75"/>
      <c r="C194" s="63" t="s">
        <v>357</v>
      </c>
      <c r="D194" s="136" t="s">
        <v>148</v>
      </c>
      <c r="E194" s="137">
        <v>1</v>
      </c>
      <c r="F194" s="137">
        <v>1300</v>
      </c>
      <c r="G194" s="86">
        <f t="shared" si="4"/>
        <v>1300</v>
      </c>
    </row>
    <row r="195" spans="1:7">
      <c r="A195" s="7"/>
      <c r="B195" s="13"/>
      <c r="C195" s="63" t="s">
        <v>358</v>
      </c>
      <c r="D195" s="14"/>
      <c r="E195" s="8"/>
      <c r="F195" s="87"/>
      <c r="G195" s="86"/>
    </row>
    <row r="196" spans="1:7">
      <c r="A196" s="7"/>
      <c r="B196" s="75"/>
      <c r="C196" s="63" t="s">
        <v>359</v>
      </c>
      <c r="D196" s="7"/>
      <c r="E196" s="8"/>
      <c r="F196" s="87"/>
      <c r="G196" s="86"/>
    </row>
    <row r="197" spans="1:7">
      <c r="A197" s="7"/>
      <c r="B197" s="13"/>
      <c r="C197" s="63" t="s">
        <v>360</v>
      </c>
      <c r="D197" s="7"/>
      <c r="E197" s="8"/>
      <c r="F197" s="87"/>
      <c r="G197" s="86"/>
    </row>
    <row r="198" spans="1:7">
      <c r="A198" s="7"/>
      <c r="B198" s="75"/>
      <c r="C198" s="63"/>
      <c r="D198" s="7"/>
      <c r="E198" s="8"/>
      <c r="F198" s="87"/>
      <c r="G198" s="86"/>
    </row>
    <row r="199" spans="1:7">
      <c r="A199" s="7"/>
      <c r="B199" s="75"/>
      <c r="C199" s="63" t="s">
        <v>478</v>
      </c>
      <c r="D199" s="7"/>
      <c r="E199" s="8"/>
      <c r="F199" s="87"/>
      <c r="G199" s="86"/>
    </row>
    <row r="200" spans="1:7">
      <c r="A200" s="7"/>
      <c r="B200" s="13"/>
      <c r="C200" s="63"/>
      <c r="D200" s="7"/>
      <c r="E200" s="8"/>
      <c r="F200" s="87"/>
      <c r="G200" s="86"/>
    </row>
    <row r="201" spans="1:7">
      <c r="A201" s="7"/>
      <c r="B201" s="75"/>
      <c r="C201" s="63" t="s">
        <v>362</v>
      </c>
      <c r="D201" s="7"/>
      <c r="E201" s="137"/>
      <c r="F201" s="96"/>
      <c r="G201" s="86"/>
    </row>
    <row r="202" spans="1:7">
      <c r="A202" s="7"/>
      <c r="B202" s="75"/>
      <c r="C202" s="63" t="s">
        <v>479</v>
      </c>
      <c r="D202" s="7"/>
      <c r="E202" s="137"/>
      <c r="F202" s="97"/>
      <c r="G202" s="86"/>
    </row>
    <row r="203" spans="1:7">
      <c r="A203" s="7"/>
      <c r="B203" s="75"/>
      <c r="C203" s="63" t="s">
        <v>364</v>
      </c>
      <c r="D203" s="7"/>
      <c r="E203" s="137"/>
      <c r="F203" s="97"/>
      <c r="G203" s="86"/>
    </row>
    <row r="204" spans="1:7">
      <c r="A204" s="7"/>
      <c r="B204" s="75"/>
      <c r="C204" s="63"/>
      <c r="D204" s="7"/>
      <c r="E204" s="137"/>
      <c r="F204" s="97"/>
      <c r="G204" s="86"/>
    </row>
    <row r="205" spans="1:7">
      <c r="A205" s="7">
        <v>50</v>
      </c>
      <c r="B205" s="75"/>
      <c r="C205" s="63" t="s">
        <v>365</v>
      </c>
      <c r="D205" s="136" t="s">
        <v>148</v>
      </c>
      <c r="E205" s="137">
        <v>5</v>
      </c>
      <c r="F205" s="137">
        <v>670</v>
      </c>
      <c r="G205" s="86">
        <f>E205*F205</f>
        <v>3350</v>
      </c>
    </row>
    <row r="206" spans="1:7">
      <c r="A206" s="7"/>
      <c r="B206" s="13"/>
      <c r="C206" s="63" t="s">
        <v>366</v>
      </c>
      <c r="D206" s="7"/>
      <c r="E206" s="137"/>
      <c r="F206" s="137"/>
      <c r="G206" s="86"/>
    </row>
    <row r="207" spans="1:7">
      <c r="A207" s="7"/>
      <c r="B207" s="75"/>
      <c r="C207" s="63" t="s">
        <v>367</v>
      </c>
      <c r="D207" s="7"/>
      <c r="E207" s="137"/>
      <c r="F207" s="137"/>
      <c r="G207" s="86"/>
    </row>
    <row r="208" spans="1:7">
      <c r="A208" s="7">
        <v>51</v>
      </c>
      <c r="B208" s="75"/>
      <c r="C208" s="63" t="s">
        <v>480</v>
      </c>
      <c r="D208" s="136" t="s">
        <v>148</v>
      </c>
      <c r="E208" s="137">
        <v>2</v>
      </c>
      <c r="F208" s="137">
        <v>2700</v>
      </c>
      <c r="G208" s="86">
        <f>E208*F208</f>
        <v>5400</v>
      </c>
    </row>
    <row r="209" spans="1:7">
      <c r="A209" s="7">
        <v>52</v>
      </c>
      <c r="B209" s="13"/>
      <c r="C209" s="63" t="s">
        <v>369</v>
      </c>
      <c r="D209" s="136" t="s">
        <v>148</v>
      </c>
      <c r="E209" s="8">
        <v>4</v>
      </c>
      <c r="F209" s="137">
        <v>1200</v>
      </c>
      <c r="G209" s="86">
        <f>E209*F209</f>
        <v>4800</v>
      </c>
    </row>
    <row r="210" spans="1:7">
      <c r="A210" s="7"/>
      <c r="B210" s="75"/>
      <c r="C210" s="63"/>
      <c r="D210" s="7"/>
      <c r="E210" s="8"/>
      <c r="F210" s="96"/>
      <c r="G210" s="86"/>
    </row>
    <row r="211" spans="1:7">
      <c r="A211" s="7"/>
      <c r="B211" s="13"/>
      <c r="C211" s="63" t="s">
        <v>371</v>
      </c>
      <c r="D211" s="7"/>
      <c r="E211" s="8"/>
      <c r="F211" s="97"/>
      <c r="G211" s="86"/>
    </row>
    <row r="212" spans="1:7">
      <c r="A212" s="7"/>
      <c r="B212" s="75"/>
      <c r="C212" s="63"/>
      <c r="D212" s="7"/>
      <c r="E212" s="8"/>
      <c r="F212" s="96"/>
      <c r="G212" s="86"/>
    </row>
    <row r="213" spans="1:7">
      <c r="A213" s="4"/>
      <c r="B213" s="13"/>
      <c r="C213" s="63" t="s">
        <v>372</v>
      </c>
      <c r="D213" s="7"/>
      <c r="E213" s="8"/>
      <c r="F213" s="96"/>
      <c r="G213" s="86"/>
    </row>
    <row r="214" spans="1:7">
      <c r="A214" s="7"/>
      <c r="B214" s="75"/>
      <c r="C214" s="63" t="s">
        <v>373</v>
      </c>
      <c r="D214" s="7"/>
      <c r="E214" s="137"/>
      <c r="F214" s="96"/>
      <c r="G214" s="86"/>
    </row>
    <row r="215" spans="1:7" ht="16.2">
      <c r="A215" s="7">
        <v>53</v>
      </c>
      <c r="B215" s="75"/>
      <c r="C215" s="63" t="s">
        <v>374</v>
      </c>
      <c r="D215" s="7" t="s">
        <v>118</v>
      </c>
      <c r="E215" s="137">
        <v>600</v>
      </c>
      <c r="F215" s="96">
        <v>65</v>
      </c>
      <c r="G215" s="86">
        <f>E215*F215</f>
        <v>39000</v>
      </c>
    </row>
    <row r="216" spans="1:7">
      <c r="A216" s="7"/>
      <c r="B216" s="75"/>
      <c r="C216" s="63" t="s">
        <v>375</v>
      </c>
      <c r="D216" s="7"/>
      <c r="E216" s="137"/>
      <c r="F216" s="96"/>
      <c r="G216" s="86"/>
    </row>
    <row r="217" spans="1:7">
      <c r="A217" s="7"/>
      <c r="B217" s="13"/>
      <c r="C217" s="63" t="s">
        <v>376</v>
      </c>
      <c r="D217" s="7"/>
      <c r="E217" s="137"/>
      <c r="F217" s="96"/>
      <c r="G217" s="86"/>
    </row>
    <row r="218" spans="1:7" ht="16.2">
      <c r="A218" s="7">
        <v>54</v>
      </c>
      <c r="B218" s="75"/>
      <c r="C218" s="63" t="s">
        <v>377</v>
      </c>
      <c r="D218" s="7" t="s">
        <v>118</v>
      </c>
      <c r="E218" s="137">
        <v>145.09</v>
      </c>
      <c r="F218" s="96">
        <v>60</v>
      </c>
      <c r="G218" s="86">
        <f>E218*F218</f>
        <v>8705.4</v>
      </c>
    </row>
    <row r="219" spans="1:7" ht="16.2">
      <c r="A219" s="7">
        <v>55</v>
      </c>
      <c r="B219" s="75"/>
      <c r="C219" s="63" t="s">
        <v>378</v>
      </c>
      <c r="D219" s="7" t="s">
        <v>118</v>
      </c>
      <c r="E219" s="137">
        <v>5</v>
      </c>
      <c r="F219" s="96">
        <v>65</v>
      </c>
      <c r="G219" s="86">
        <f>E219*F219</f>
        <v>325</v>
      </c>
    </row>
    <row r="220" spans="1:7">
      <c r="A220" s="7"/>
      <c r="B220" s="75"/>
      <c r="C220" s="63"/>
      <c r="D220" s="7"/>
      <c r="E220" s="8"/>
      <c r="F220" s="96"/>
      <c r="G220" s="86"/>
    </row>
    <row r="221" spans="1:7">
      <c r="A221" s="7"/>
      <c r="B221" s="75"/>
      <c r="C221" s="63" t="s">
        <v>380</v>
      </c>
      <c r="D221" s="7"/>
      <c r="E221" s="8"/>
      <c r="F221" s="96"/>
      <c r="G221" s="86"/>
    </row>
    <row r="222" spans="1:7">
      <c r="A222" s="7"/>
      <c r="B222" s="75"/>
      <c r="C222" s="63" t="s">
        <v>381</v>
      </c>
      <c r="D222" s="7"/>
      <c r="E222" s="8"/>
      <c r="F222" s="96"/>
      <c r="G222" s="86"/>
    </row>
    <row r="223" spans="1:7">
      <c r="A223" s="7"/>
      <c r="B223" s="75"/>
      <c r="C223" s="63" t="s">
        <v>382</v>
      </c>
      <c r="D223" s="7"/>
      <c r="E223" s="8"/>
      <c r="F223" s="96"/>
      <c r="G223" s="86"/>
    </row>
    <row r="224" spans="1:7">
      <c r="A224" s="7"/>
      <c r="B224" s="75"/>
      <c r="C224" s="63" t="s">
        <v>383</v>
      </c>
      <c r="D224" s="7"/>
      <c r="E224" s="8"/>
      <c r="F224" s="96"/>
      <c r="G224" s="86"/>
    </row>
    <row r="225" spans="1:7">
      <c r="A225" s="44"/>
      <c r="B225" s="13"/>
      <c r="C225" s="63" t="s">
        <v>384</v>
      </c>
      <c r="D225" s="7"/>
      <c r="E225" s="8"/>
      <c r="F225" s="97"/>
      <c r="G225" s="86"/>
    </row>
    <row r="226" spans="1:7">
      <c r="A226" s="8"/>
      <c r="B226" s="13"/>
      <c r="C226" s="63" t="s">
        <v>385</v>
      </c>
      <c r="D226" s="7"/>
      <c r="E226" s="8"/>
      <c r="F226" s="97"/>
      <c r="G226" s="86"/>
    </row>
    <row r="227" spans="1:7" ht="16.2">
      <c r="A227" s="136">
        <v>56</v>
      </c>
      <c r="B227" s="75"/>
      <c r="C227" s="63" t="s">
        <v>386</v>
      </c>
      <c r="D227" s="7" t="s">
        <v>118</v>
      </c>
      <c r="E227" s="8">
        <v>53.38</v>
      </c>
      <c r="F227" s="137">
        <v>280</v>
      </c>
      <c r="G227" s="86">
        <f>E227*F227</f>
        <v>14946.400000000001</v>
      </c>
    </row>
    <row r="228" spans="1:7">
      <c r="A228" s="136">
        <v>57</v>
      </c>
      <c r="B228" s="75"/>
      <c r="C228" s="63" t="s">
        <v>387</v>
      </c>
      <c r="D228" s="137" t="s">
        <v>136</v>
      </c>
      <c r="E228" s="8">
        <v>60.38</v>
      </c>
      <c r="F228" s="137">
        <v>55</v>
      </c>
      <c r="G228" s="86">
        <f>E228*F228</f>
        <v>3320.9</v>
      </c>
    </row>
    <row r="229" spans="1:7">
      <c r="A229" s="136"/>
      <c r="B229" s="75"/>
      <c r="C229" s="63" t="s">
        <v>388</v>
      </c>
      <c r="D229" s="137"/>
      <c r="E229" s="8"/>
      <c r="F229" s="137"/>
      <c r="G229" s="86"/>
    </row>
    <row r="230" spans="1:7">
      <c r="A230" s="136"/>
      <c r="B230" s="13"/>
      <c r="C230" s="63" t="s">
        <v>389</v>
      </c>
      <c r="D230" s="137"/>
      <c r="E230" s="8"/>
      <c r="F230" s="137"/>
      <c r="G230" s="86"/>
    </row>
    <row r="231" spans="1:7">
      <c r="A231" s="136"/>
      <c r="B231" s="75"/>
      <c r="C231" s="63" t="s">
        <v>382</v>
      </c>
      <c r="D231" s="137"/>
      <c r="E231" s="8"/>
      <c r="F231" s="137"/>
      <c r="G231" s="86"/>
    </row>
    <row r="232" spans="1:7">
      <c r="A232" s="136"/>
      <c r="B232" s="75"/>
      <c r="C232" s="63" t="s">
        <v>390</v>
      </c>
      <c r="D232" s="137"/>
      <c r="E232" s="8"/>
      <c r="F232" s="137"/>
      <c r="G232" s="86"/>
    </row>
    <row r="233" spans="1:7">
      <c r="A233" s="136"/>
      <c r="B233" s="75"/>
      <c r="C233" s="63" t="s">
        <v>384</v>
      </c>
      <c r="D233" s="137"/>
      <c r="E233" s="8"/>
      <c r="F233" s="137"/>
      <c r="G233" s="86"/>
    </row>
    <row r="234" spans="1:7">
      <c r="A234" s="136"/>
      <c r="B234" s="75"/>
      <c r="C234" s="63" t="s">
        <v>385</v>
      </c>
      <c r="D234" s="137"/>
      <c r="E234" s="8"/>
      <c r="F234" s="137"/>
      <c r="G234" s="86"/>
    </row>
    <row r="235" spans="1:7" ht="16.2">
      <c r="A235" s="136">
        <v>58</v>
      </c>
      <c r="B235" s="75"/>
      <c r="C235" s="63" t="s">
        <v>391</v>
      </c>
      <c r="D235" s="7" t="s">
        <v>118</v>
      </c>
      <c r="E235" s="8">
        <v>82.84</v>
      </c>
      <c r="F235" s="137">
        <v>256</v>
      </c>
      <c r="G235" s="86">
        <f>E235*F235</f>
        <v>21207.040000000001</v>
      </c>
    </row>
    <row r="236" spans="1:7" ht="16.2">
      <c r="A236" s="136">
        <v>59</v>
      </c>
      <c r="B236" s="75"/>
      <c r="C236" s="63" t="s">
        <v>392</v>
      </c>
      <c r="D236" s="7" t="s">
        <v>118</v>
      </c>
      <c r="E236" s="8">
        <v>4.9000000000000004</v>
      </c>
      <c r="F236" s="137">
        <v>320</v>
      </c>
      <c r="G236" s="86">
        <f>E236*F236</f>
        <v>1568</v>
      </c>
    </row>
    <row r="237" spans="1:7">
      <c r="A237" s="7"/>
      <c r="B237" s="13"/>
      <c r="C237" s="63"/>
      <c r="D237" s="7"/>
      <c r="E237" s="8"/>
      <c r="F237" s="97"/>
      <c r="G237" s="86"/>
    </row>
    <row r="238" spans="1:7" ht="14.4" thickBot="1">
      <c r="A238" s="141"/>
      <c r="B238" s="146"/>
      <c r="C238" s="142"/>
      <c r="D238" s="141"/>
      <c r="E238" s="143"/>
      <c r="F238" s="143"/>
      <c r="G238" s="148"/>
    </row>
    <row r="239" spans="1:7" ht="14.4" thickBot="1">
      <c r="A239" s="2270" t="s">
        <v>48</v>
      </c>
      <c r="B239" s="2271"/>
      <c r="C239" s="2271"/>
      <c r="D239" s="2271"/>
      <c r="E239" s="2272"/>
      <c r="F239" s="120"/>
      <c r="G239" s="154">
        <f>SUM(G178:G237)</f>
        <v>592728.75550000009</v>
      </c>
    </row>
    <row r="240" spans="1:7" ht="14.4" thickBot="1"/>
    <row r="241" spans="1:7">
      <c r="A241" s="127" t="s">
        <v>0</v>
      </c>
      <c r="B241" s="127" t="s">
        <v>1</v>
      </c>
      <c r="C241" s="2253" t="s">
        <v>2</v>
      </c>
      <c r="D241" s="2253" t="s">
        <v>3</v>
      </c>
      <c r="E241" s="2255" t="s">
        <v>4</v>
      </c>
      <c r="F241" s="2257" t="s">
        <v>5</v>
      </c>
      <c r="G241" s="2251" t="s">
        <v>6</v>
      </c>
    </row>
    <row r="242" spans="1:7" ht="14.4" thickBot="1">
      <c r="A242" s="128" t="s">
        <v>7</v>
      </c>
      <c r="B242" s="128" t="s">
        <v>8</v>
      </c>
      <c r="C242" s="2254"/>
      <c r="D242" s="2254"/>
      <c r="E242" s="2256"/>
      <c r="F242" s="2258"/>
      <c r="G242" s="2252"/>
    </row>
    <row r="243" spans="1:7" ht="14.4" thickBot="1">
      <c r="A243" s="2273" t="s">
        <v>49</v>
      </c>
      <c r="B243" s="2273"/>
      <c r="C243" s="2273"/>
      <c r="D243" s="2273"/>
      <c r="E243" s="2273"/>
      <c r="F243" s="2273"/>
      <c r="G243" s="125">
        <f>G239</f>
        <v>592728.75550000009</v>
      </c>
    </row>
    <row r="244" spans="1:7">
      <c r="A244" s="57"/>
      <c r="B244" s="74"/>
      <c r="C244" s="58"/>
      <c r="D244" s="57"/>
      <c r="E244" s="90"/>
      <c r="F244" s="60"/>
      <c r="G244" s="83"/>
    </row>
    <row r="245" spans="1:7">
      <c r="A245" s="7"/>
      <c r="B245" s="7"/>
      <c r="C245" s="63" t="s">
        <v>393</v>
      </c>
      <c r="D245" s="7"/>
      <c r="E245" s="91"/>
      <c r="F245" s="77"/>
      <c r="G245" s="86"/>
    </row>
    <row r="246" spans="1:7">
      <c r="A246" s="7"/>
      <c r="B246" s="71"/>
      <c r="C246" s="63"/>
      <c r="D246" s="76"/>
      <c r="E246" s="91"/>
      <c r="F246" s="76"/>
      <c r="G246" s="84"/>
    </row>
    <row r="247" spans="1:7">
      <c r="A247" s="7"/>
      <c r="B247" s="71"/>
      <c r="C247" s="63" t="s">
        <v>394</v>
      </c>
      <c r="D247" s="76"/>
      <c r="E247" s="92"/>
      <c r="F247" s="78"/>
      <c r="G247" s="86"/>
    </row>
    <row r="248" spans="1:7">
      <c r="A248" s="7"/>
      <c r="B248" s="71"/>
      <c r="C248" s="63" t="s">
        <v>395</v>
      </c>
      <c r="D248" s="76"/>
      <c r="E248" s="92"/>
      <c r="F248" s="78"/>
      <c r="G248" s="86"/>
    </row>
    <row r="249" spans="1:7">
      <c r="A249" s="7"/>
      <c r="B249" s="71"/>
      <c r="C249" s="63" t="s">
        <v>396</v>
      </c>
      <c r="D249" s="25"/>
      <c r="E249" s="92"/>
      <c r="F249" s="79"/>
      <c r="G249" s="86"/>
    </row>
    <row r="250" spans="1:7">
      <c r="A250" s="7"/>
      <c r="B250" s="71"/>
      <c r="C250" s="63" t="s">
        <v>397</v>
      </c>
      <c r="D250" s="25"/>
      <c r="E250" s="91"/>
      <c r="F250" s="77"/>
      <c r="G250" s="86"/>
    </row>
    <row r="251" spans="1:7">
      <c r="A251" s="7"/>
      <c r="B251" s="71"/>
      <c r="C251" s="63" t="s">
        <v>398</v>
      </c>
      <c r="D251" s="76"/>
      <c r="E251" s="91"/>
      <c r="F251" s="76"/>
      <c r="G251" s="86"/>
    </row>
    <row r="252" spans="1:7">
      <c r="A252" s="7"/>
      <c r="B252" s="71"/>
      <c r="C252" s="63" t="s">
        <v>399</v>
      </c>
      <c r="D252" s="76"/>
      <c r="E252" s="92"/>
      <c r="F252" s="78"/>
      <c r="G252" s="86"/>
    </row>
    <row r="253" spans="1:7">
      <c r="A253" s="7"/>
      <c r="B253" s="71"/>
      <c r="C253" s="63" t="s">
        <v>400</v>
      </c>
      <c r="D253" s="80"/>
      <c r="E253" s="93"/>
      <c r="F253" s="81"/>
      <c r="G253" s="86"/>
    </row>
    <row r="254" spans="1:7">
      <c r="A254" s="7"/>
      <c r="B254" s="71"/>
      <c r="C254" s="63" t="s">
        <v>401</v>
      </c>
      <c r="D254" s="7"/>
      <c r="E254" s="138"/>
      <c r="F254" s="77"/>
      <c r="G254" s="86"/>
    </row>
    <row r="255" spans="1:7">
      <c r="A255" s="7"/>
      <c r="B255" s="71"/>
      <c r="C255" s="63" t="s">
        <v>402</v>
      </c>
      <c r="D255" s="76"/>
      <c r="E255" s="92"/>
      <c r="F255" s="77"/>
      <c r="G255" s="86"/>
    </row>
    <row r="256" spans="1:7">
      <c r="A256" s="7"/>
      <c r="B256" s="71"/>
      <c r="C256" s="63" t="s">
        <v>403</v>
      </c>
      <c r="D256" s="76"/>
      <c r="E256" s="92"/>
      <c r="F256" s="78"/>
      <c r="G256" s="86"/>
    </row>
    <row r="257" spans="1:7">
      <c r="A257" s="7"/>
      <c r="B257" s="71"/>
      <c r="C257" s="63" t="s">
        <v>404</v>
      </c>
      <c r="D257" s="76"/>
      <c r="E257" s="92"/>
      <c r="F257" s="78"/>
      <c r="G257" s="86"/>
    </row>
    <row r="258" spans="1:7">
      <c r="A258" s="4"/>
      <c r="B258" s="13"/>
      <c r="C258" s="63" t="s">
        <v>405</v>
      </c>
      <c r="D258" s="7"/>
      <c r="E258" s="8"/>
      <c r="F258" s="6"/>
      <c r="G258" s="86"/>
    </row>
    <row r="259" spans="1:7" ht="16.2">
      <c r="A259" s="136">
        <v>60</v>
      </c>
      <c r="B259" s="75"/>
      <c r="C259" s="63" t="s">
        <v>481</v>
      </c>
      <c r="D259" s="7" t="s">
        <v>118</v>
      </c>
      <c r="E259" s="137">
        <v>72.540000000000006</v>
      </c>
      <c r="F259" s="137">
        <v>55</v>
      </c>
      <c r="G259" s="86">
        <f>E259*F259</f>
        <v>3989.7000000000003</v>
      </c>
    </row>
    <row r="260" spans="1:7">
      <c r="A260" s="136"/>
      <c r="B260" s="13"/>
      <c r="C260" s="63" t="s">
        <v>407</v>
      </c>
      <c r="D260" s="7"/>
      <c r="E260" s="137"/>
      <c r="F260" s="137"/>
      <c r="G260" s="86"/>
    </row>
    <row r="261" spans="1:7">
      <c r="A261" s="136"/>
      <c r="B261" s="75"/>
      <c r="C261" s="63" t="s">
        <v>408</v>
      </c>
      <c r="D261" s="7"/>
      <c r="E261" s="137"/>
      <c r="F261" s="137"/>
      <c r="G261" s="86"/>
    </row>
    <row r="262" spans="1:7">
      <c r="A262" s="136"/>
      <c r="B262" s="13"/>
      <c r="C262" s="63" t="s">
        <v>409</v>
      </c>
      <c r="D262" s="7"/>
      <c r="E262" s="137"/>
      <c r="F262" s="137"/>
      <c r="G262" s="86"/>
    </row>
    <row r="263" spans="1:7">
      <c r="A263" s="136"/>
      <c r="B263" s="75"/>
      <c r="C263" s="63" t="s">
        <v>410</v>
      </c>
      <c r="D263" s="7"/>
      <c r="E263" s="137"/>
      <c r="F263" s="137"/>
      <c r="G263" s="86"/>
    </row>
    <row r="264" spans="1:7">
      <c r="A264" s="136"/>
      <c r="B264" s="75"/>
      <c r="C264" s="63" t="s">
        <v>411</v>
      </c>
      <c r="D264" s="7"/>
      <c r="E264" s="137"/>
      <c r="F264" s="137"/>
      <c r="G264" s="86"/>
    </row>
    <row r="265" spans="1:7">
      <c r="A265" s="136"/>
      <c r="B265" s="13"/>
      <c r="C265" s="63" t="s">
        <v>412</v>
      </c>
      <c r="D265" s="14"/>
      <c r="E265" s="137"/>
      <c r="F265" s="137"/>
      <c r="G265" s="86"/>
    </row>
    <row r="266" spans="1:7">
      <c r="A266" s="136"/>
      <c r="B266" s="75"/>
      <c r="C266" s="63" t="s">
        <v>413</v>
      </c>
      <c r="D266" s="7"/>
      <c r="E266" s="137"/>
      <c r="F266" s="137"/>
      <c r="G266" s="86"/>
    </row>
    <row r="267" spans="1:7">
      <c r="A267" s="136"/>
      <c r="B267" s="13"/>
      <c r="C267" s="63" t="s">
        <v>414</v>
      </c>
      <c r="D267" s="7"/>
      <c r="E267" s="137"/>
      <c r="F267" s="137"/>
      <c r="G267" s="86"/>
    </row>
    <row r="268" spans="1:7">
      <c r="A268" s="136"/>
      <c r="B268" s="75"/>
      <c r="C268" s="63" t="s">
        <v>415</v>
      </c>
      <c r="D268" s="7"/>
      <c r="E268" s="137"/>
      <c r="F268" s="137"/>
      <c r="G268" s="86"/>
    </row>
    <row r="269" spans="1:7">
      <c r="A269" s="136"/>
      <c r="B269" s="13"/>
      <c r="C269" s="63" t="s">
        <v>416</v>
      </c>
      <c r="D269" s="7"/>
      <c r="E269" s="137"/>
      <c r="F269" s="137"/>
      <c r="G269" s="86"/>
    </row>
    <row r="270" spans="1:7" ht="16.2">
      <c r="A270" s="136">
        <v>61</v>
      </c>
      <c r="B270" s="75"/>
      <c r="C270" s="63" t="s">
        <v>417</v>
      </c>
      <c r="D270" s="7" t="s">
        <v>118</v>
      </c>
      <c r="E270" s="137">
        <f>E161</f>
        <v>4.7300000000000004</v>
      </c>
      <c r="F270" s="137">
        <v>55</v>
      </c>
      <c r="G270" s="86">
        <f>E270*F270</f>
        <v>260.15000000000003</v>
      </c>
    </row>
    <row r="271" spans="1:7">
      <c r="A271" s="136"/>
      <c r="B271" s="75"/>
      <c r="C271" s="63" t="s">
        <v>418</v>
      </c>
      <c r="D271" s="7"/>
      <c r="E271" s="137"/>
      <c r="F271" s="137"/>
      <c r="G271" s="86"/>
    </row>
    <row r="272" spans="1:7">
      <c r="A272" s="136"/>
      <c r="B272" s="75"/>
      <c r="C272" s="63" t="s">
        <v>419</v>
      </c>
      <c r="D272" s="7"/>
      <c r="E272" s="137"/>
      <c r="F272" s="137"/>
      <c r="G272" s="86"/>
    </row>
    <row r="273" spans="1:7" ht="16.2">
      <c r="A273" s="136">
        <v>62</v>
      </c>
      <c r="B273" s="75"/>
      <c r="C273" s="63" t="s">
        <v>420</v>
      </c>
      <c r="D273" s="7" t="s">
        <v>118</v>
      </c>
      <c r="E273" s="137">
        <f>(7.575*0.3)+(5.379*0.3)</f>
        <v>3.8861999999999997</v>
      </c>
      <c r="F273" s="137">
        <v>55</v>
      </c>
      <c r="G273" s="86">
        <f>E273*F273</f>
        <v>213.74099999999999</v>
      </c>
    </row>
    <row r="274" spans="1:7">
      <c r="A274" s="136"/>
      <c r="B274" s="13"/>
      <c r="C274" s="63" t="s">
        <v>421</v>
      </c>
      <c r="D274" s="7"/>
      <c r="E274" s="137"/>
      <c r="F274" s="137"/>
      <c r="G274" s="86"/>
    </row>
    <row r="275" spans="1:7">
      <c r="A275" s="136"/>
      <c r="B275" s="75"/>
      <c r="C275" s="63" t="s">
        <v>422</v>
      </c>
      <c r="D275" s="7"/>
      <c r="E275" s="137"/>
      <c r="F275" s="137"/>
      <c r="G275" s="86"/>
    </row>
    <row r="276" spans="1:7">
      <c r="A276" s="136"/>
      <c r="B276" s="75"/>
      <c r="C276" s="63" t="s">
        <v>410</v>
      </c>
      <c r="D276" s="7"/>
      <c r="E276" s="137"/>
      <c r="F276" s="137"/>
      <c r="G276" s="86"/>
    </row>
    <row r="277" spans="1:7">
      <c r="A277" s="136"/>
      <c r="B277" s="13"/>
      <c r="C277" s="63" t="s">
        <v>411</v>
      </c>
      <c r="D277" s="47"/>
      <c r="E277" s="137"/>
      <c r="F277" s="137"/>
      <c r="G277" s="86"/>
    </row>
    <row r="278" spans="1:7">
      <c r="A278" s="136"/>
      <c r="B278" s="75"/>
      <c r="C278" s="63" t="s">
        <v>423</v>
      </c>
      <c r="D278" s="7"/>
      <c r="E278" s="137"/>
      <c r="F278" s="137"/>
      <c r="G278" s="86"/>
    </row>
    <row r="279" spans="1:7">
      <c r="A279" s="136"/>
      <c r="B279" s="13"/>
      <c r="C279" s="63" t="s">
        <v>424</v>
      </c>
      <c r="D279" s="7"/>
      <c r="E279" s="137"/>
      <c r="F279" s="137"/>
      <c r="G279" s="86"/>
    </row>
    <row r="280" spans="1:7">
      <c r="A280" s="136"/>
      <c r="B280" s="75"/>
      <c r="C280" s="63" t="s">
        <v>425</v>
      </c>
      <c r="D280" s="7"/>
      <c r="E280" s="137"/>
      <c r="F280" s="137"/>
      <c r="G280" s="86"/>
    </row>
    <row r="281" spans="1:7">
      <c r="A281" s="136"/>
      <c r="B281" s="13"/>
      <c r="C281" s="63" t="s">
        <v>426</v>
      </c>
      <c r="D281" s="7"/>
      <c r="E281" s="137"/>
      <c r="F281" s="137"/>
      <c r="G281" s="86"/>
    </row>
    <row r="282" spans="1:7">
      <c r="A282" s="136"/>
      <c r="B282" s="75"/>
      <c r="C282" s="63" t="s">
        <v>427</v>
      </c>
      <c r="D282" s="7"/>
      <c r="E282" s="137"/>
      <c r="F282" s="137"/>
      <c r="G282" s="86"/>
    </row>
    <row r="283" spans="1:7" ht="16.2">
      <c r="A283" s="136">
        <v>63</v>
      </c>
      <c r="B283" s="75"/>
      <c r="C283" s="63" t="s">
        <v>428</v>
      </c>
      <c r="D283" s="7" t="s">
        <v>118</v>
      </c>
      <c r="E283" s="137">
        <v>3</v>
      </c>
      <c r="F283" s="137">
        <v>20</v>
      </c>
      <c r="G283" s="86">
        <f>E283*F283</f>
        <v>60</v>
      </c>
    </row>
    <row r="284" spans="1:7">
      <c r="A284" s="136"/>
      <c r="B284" s="13"/>
      <c r="C284" s="63" t="s">
        <v>429</v>
      </c>
      <c r="D284" s="7"/>
      <c r="E284" s="137"/>
      <c r="F284" s="137"/>
      <c r="G284" s="86"/>
    </row>
    <row r="285" spans="1:7">
      <c r="A285" s="136"/>
      <c r="B285" s="75"/>
      <c r="C285" s="63" t="s">
        <v>430</v>
      </c>
      <c r="D285" s="7"/>
      <c r="E285" s="137"/>
      <c r="F285" s="137"/>
      <c r="G285" s="86"/>
    </row>
    <row r="286" spans="1:7">
      <c r="A286" s="136"/>
      <c r="B286" s="75"/>
      <c r="C286" s="63" t="s">
        <v>431</v>
      </c>
      <c r="D286" s="7"/>
      <c r="E286" s="137"/>
      <c r="F286" s="137"/>
      <c r="G286" s="86"/>
    </row>
    <row r="287" spans="1:7">
      <c r="A287" s="136"/>
      <c r="B287" s="75"/>
      <c r="C287" s="63" t="s">
        <v>432</v>
      </c>
      <c r="D287" s="7"/>
      <c r="E287" s="137"/>
      <c r="F287" s="137"/>
      <c r="G287" s="86"/>
    </row>
    <row r="288" spans="1:7">
      <c r="A288" s="136"/>
      <c r="B288" s="75"/>
      <c r="C288" s="63" t="s">
        <v>433</v>
      </c>
      <c r="D288" s="7"/>
      <c r="E288" s="137"/>
      <c r="F288" s="137"/>
      <c r="G288" s="86"/>
    </row>
    <row r="289" spans="1:7">
      <c r="A289" s="136"/>
      <c r="B289" s="75"/>
      <c r="C289" s="63" t="s">
        <v>434</v>
      </c>
      <c r="D289" s="7"/>
      <c r="E289" s="137"/>
      <c r="F289" s="137"/>
      <c r="G289" s="86"/>
    </row>
    <row r="290" spans="1:7">
      <c r="A290" s="136"/>
      <c r="B290" s="13"/>
      <c r="C290" s="63" t="s">
        <v>435</v>
      </c>
      <c r="D290" s="7"/>
      <c r="E290" s="137"/>
      <c r="F290" s="137"/>
      <c r="G290" s="86"/>
    </row>
    <row r="291" spans="1:7">
      <c r="A291" s="136"/>
      <c r="B291" s="75"/>
      <c r="C291" s="63" t="s">
        <v>436</v>
      </c>
      <c r="D291" s="7"/>
      <c r="E291" s="137"/>
      <c r="F291" s="137"/>
      <c r="G291" s="86"/>
    </row>
    <row r="292" spans="1:7">
      <c r="A292" s="136"/>
      <c r="B292" s="75"/>
      <c r="C292" s="63" t="s">
        <v>437</v>
      </c>
      <c r="D292" s="7"/>
      <c r="E292" s="137"/>
      <c r="F292" s="137"/>
      <c r="G292" s="86"/>
    </row>
    <row r="293" spans="1:7">
      <c r="A293" s="136"/>
      <c r="B293" s="75"/>
      <c r="C293" s="63" t="s">
        <v>438</v>
      </c>
      <c r="D293" s="7"/>
      <c r="E293" s="137"/>
      <c r="F293" s="137"/>
      <c r="G293" s="86"/>
    </row>
    <row r="294" spans="1:7">
      <c r="A294" s="136"/>
      <c r="B294" s="13"/>
      <c r="C294" s="63" t="s">
        <v>402</v>
      </c>
      <c r="D294" s="7"/>
      <c r="E294" s="137"/>
      <c r="F294" s="137"/>
      <c r="G294" s="86"/>
    </row>
    <row r="295" spans="1:7">
      <c r="A295" s="136"/>
      <c r="B295" s="75"/>
      <c r="C295" s="63" t="s">
        <v>439</v>
      </c>
      <c r="D295" s="7"/>
      <c r="E295" s="137"/>
      <c r="F295" s="137"/>
      <c r="G295" s="86"/>
    </row>
    <row r="296" spans="1:7">
      <c r="A296" s="136"/>
      <c r="B296" s="75"/>
      <c r="C296" s="63" t="s">
        <v>440</v>
      </c>
      <c r="D296" s="7"/>
      <c r="E296" s="137"/>
      <c r="F296" s="137"/>
      <c r="G296" s="86"/>
    </row>
    <row r="297" spans="1:7">
      <c r="A297" s="136"/>
      <c r="B297" s="75"/>
      <c r="C297" s="63" t="s">
        <v>405</v>
      </c>
      <c r="D297" s="7"/>
      <c r="E297" s="137"/>
      <c r="F297" s="137"/>
      <c r="G297" s="86"/>
    </row>
    <row r="298" spans="1:7" ht="16.2">
      <c r="A298" s="136">
        <v>64</v>
      </c>
      <c r="B298" s="75"/>
      <c r="C298" s="63" t="s">
        <v>441</v>
      </c>
      <c r="D298" s="7" t="s">
        <v>118</v>
      </c>
      <c r="E298" s="137">
        <f>0.28*4*5</f>
        <v>5.6000000000000005</v>
      </c>
      <c r="F298" s="137">
        <v>55</v>
      </c>
      <c r="G298" s="86">
        <f>E298*F298</f>
        <v>308.00000000000006</v>
      </c>
    </row>
    <row r="299" spans="1:7">
      <c r="A299" s="136"/>
      <c r="B299" s="75"/>
      <c r="C299" s="63" t="s">
        <v>442</v>
      </c>
      <c r="D299" s="7"/>
      <c r="E299" s="137"/>
      <c r="F299" s="137"/>
      <c r="G299" s="86"/>
    </row>
    <row r="300" spans="1:7">
      <c r="A300" s="136"/>
      <c r="B300" s="75"/>
      <c r="C300" s="63" t="s">
        <v>443</v>
      </c>
      <c r="D300" s="7"/>
      <c r="E300" s="137"/>
      <c r="F300" s="137"/>
      <c r="G300" s="86"/>
    </row>
    <row r="301" spans="1:7">
      <c r="A301" s="136"/>
      <c r="B301" s="75"/>
      <c r="C301" s="63" t="s">
        <v>444</v>
      </c>
      <c r="D301" s="7"/>
      <c r="E301" s="137"/>
      <c r="F301" s="137"/>
      <c r="G301" s="86"/>
    </row>
    <row r="302" spans="1:7">
      <c r="A302" s="136"/>
      <c r="B302" s="75"/>
      <c r="C302" s="63" t="s">
        <v>445</v>
      </c>
      <c r="D302" s="7"/>
      <c r="E302" s="137"/>
      <c r="F302" s="137"/>
      <c r="G302" s="86"/>
    </row>
    <row r="303" spans="1:7">
      <c r="A303" s="136"/>
      <c r="B303" s="75"/>
      <c r="C303" s="63" t="s">
        <v>446</v>
      </c>
      <c r="D303" s="7"/>
      <c r="E303" s="137"/>
      <c r="F303" s="137"/>
      <c r="G303" s="86"/>
    </row>
    <row r="304" spans="1:7">
      <c r="A304" s="136"/>
      <c r="B304" s="75"/>
      <c r="C304" s="63" t="s">
        <v>447</v>
      </c>
      <c r="D304" s="7"/>
      <c r="E304" s="137"/>
      <c r="F304" s="137"/>
      <c r="G304" s="86"/>
    </row>
    <row r="305" spans="1:7">
      <c r="A305" s="136"/>
      <c r="B305" s="75"/>
      <c r="C305" s="63" t="s">
        <v>448</v>
      </c>
      <c r="D305" s="7"/>
      <c r="E305" s="137"/>
      <c r="F305" s="137"/>
      <c r="G305" s="86"/>
    </row>
    <row r="306" spans="1:7">
      <c r="A306" s="136"/>
      <c r="B306" s="75"/>
      <c r="C306" s="63" t="s">
        <v>449</v>
      </c>
      <c r="D306" s="7"/>
      <c r="E306" s="137"/>
      <c r="F306" s="137"/>
      <c r="G306" s="86"/>
    </row>
    <row r="307" spans="1:7">
      <c r="A307" s="136"/>
      <c r="B307" s="75"/>
      <c r="C307" s="63" t="s">
        <v>450</v>
      </c>
      <c r="D307" s="7"/>
      <c r="E307" s="137"/>
      <c r="F307" s="137"/>
      <c r="G307" s="86"/>
    </row>
    <row r="308" spans="1:7">
      <c r="A308" s="136"/>
      <c r="B308" s="75"/>
      <c r="C308" s="63" t="s">
        <v>451</v>
      </c>
      <c r="D308" s="7"/>
      <c r="E308" s="137"/>
      <c r="F308" s="137"/>
      <c r="G308" s="86"/>
    </row>
    <row r="309" spans="1:7">
      <c r="A309" s="136"/>
      <c r="B309" s="75"/>
      <c r="C309" s="63" t="s">
        <v>452</v>
      </c>
      <c r="D309" s="7"/>
      <c r="E309" s="137"/>
      <c r="F309" s="137"/>
      <c r="G309" s="86"/>
    </row>
    <row r="310" spans="1:7">
      <c r="A310" s="136"/>
      <c r="B310" s="75"/>
      <c r="C310" s="63" t="s">
        <v>453</v>
      </c>
      <c r="D310" s="7"/>
      <c r="E310" s="137"/>
      <c r="F310" s="137"/>
      <c r="G310" s="86"/>
    </row>
    <row r="311" spans="1:7">
      <c r="A311" s="136"/>
      <c r="B311" s="75"/>
      <c r="C311" s="63" t="s">
        <v>454</v>
      </c>
      <c r="D311" s="7"/>
      <c r="E311" s="137"/>
      <c r="F311" s="137"/>
      <c r="G311" s="86"/>
    </row>
    <row r="312" spans="1:7">
      <c r="A312" s="136"/>
      <c r="B312" s="75"/>
      <c r="C312" s="63" t="s">
        <v>455</v>
      </c>
      <c r="D312" s="7"/>
      <c r="E312" s="137"/>
      <c r="F312" s="137"/>
      <c r="G312" s="86"/>
    </row>
    <row r="313" spans="1:7" ht="16.2">
      <c r="A313" s="136">
        <v>65</v>
      </c>
      <c r="B313" s="75"/>
      <c r="C313" s="63" t="s">
        <v>456</v>
      </c>
      <c r="D313" s="7" t="s">
        <v>118</v>
      </c>
      <c r="E313" s="137">
        <f>0.813*2.032*2*5</f>
        <v>16.520160000000001</v>
      </c>
      <c r="F313" s="137">
        <v>55</v>
      </c>
      <c r="G313" s="86">
        <f>E313*F313</f>
        <v>908.60880000000009</v>
      </c>
    </row>
    <row r="314" spans="1:7">
      <c r="A314" s="7"/>
      <c r="B314" s="75"/>
      <c r="C314" s="63"/>
      <c r="D314" s="7"/>
      <c r="E314" s="8"/>
      <c r="F314" s="49"/>
      <c r="G314" s="86"/>
    </row>
    <row r="315" spans="1:7">
      <c r="A315" s="7"/>
      <c r="B315" s="13"/>
      <c r="C315" s="5"/>
      <c r="D315" s="7"/>
      <c r="E315" s="8"/>
      <c r="F315" s="49"/>
      <c r="G315" s="86"/>
    </row>
    <row r="316" spans="1:7">
      <c r="A316" s="7"/>
      <c r="B316" s="75"/>
      <c r="C316" s="63"/>
      <c r="D316" s="7"/>
      <c r="E316" s="8"/>
      <c r="F316" s="49"/>
      <c r="G316" s="86"/>
    </row>
    <row r="317" spans="1:7" ht="14.4" thickBot="1">
      <c r="A317" s="141"/>
      <c r="B317" s="146"/>
      <c r="C317" s="147"/>
      <c r="D317" s="141"/>
      <c r="E317" s="143"/>
      <c r="F317" s="144"/>
      <c r="G317" s="148"/>
    </row>
    <row r="318" spans="1:7" ht="14.4" thickBot="1">
      <c r="A318" s="2270" t="s">
        <v>139</v>
      </c>
      <c r="B318" s="2271"/>
      <c r="C318" s="2271"/>
      <c r="D318" s="2271"/>
      <c r="E318" s="2272"/>
      <c r="F318" s="120"/>
      <c r="G318" s="154">
        <f>SUM(G243:G316)</f>
        <v>598468.95530000015</v>
      </c>
    </row>
  </sheetData>
  <mergeCells count="30">
    <mergeCell ref="G176:G177"/>
    <mergeCell ref="A178:F178"/>
    <mergeCell ref="A318:E318"/>
    <mergeCell ref="A239:E239"/>
    <mergeCell ref="C241:C242"/>
    <mergeCell ref="D241:D242"/>
    <mergeCell ref="E241:E242"/>
    <mergeCell ref="F241:F242"/>
    <mergeCell ref="G241:G242"/>
    <mergeCell ref="A243:F243"/>
    <mergeCell ref="G7:G8"/>
    <mergeCell ref="A87:F87"/>
    <mergeCell ref="C90:C91"/>
    <mergeCell ref="D90:D91"/>
    <mergeCell ref="E90:E91"/>
    <mergeCell ref="F90:F91"/>
    <mergeCell ref="G90:G91"/>
    <mergeCell ref="E7:E8"/>
    <mergeCell ref="A174:E174"/>
    <mergeCell ref="C176:C177"/>
    <mergeCell ref="D176:D177"/>
    <mergeCell ref="A4:D4"/>
    <mergeCell ref="A7:A8"/>
    <mergeCell ref="B7:B8"/>
    <mergeCell ref="C7:C8"/>
    <mergeCell ref="D7:D8"/>
    <mergeCell ref="A92:F92"/>
    <mergeCell ref="F7:F8"/>
    <mergeCell ref="E176:E177"/>
    <mergeCell ref="F176:F177"/>
  </mergeCells>
  <pageMargins left="0.70866141732283472" right="0.70866141732283472" top="0.74803149606299213" bottom="0.74803149606299213" header="0.31496062992125984" footer="0.31496062992125984"/>
  <pageSetup paperSize="9" scale="55" fitToHeight="0" orientation="portrait" r:id="rId1"/>
  <headerFooter scaleWithDoc="0" alignWithMargins="0">
    <oddHeader>&amp;C&amp;"Arial Narrow,Regular"&amp;10C39.&amp;P</oddHeader>
    <oddFooter>&amp;L&amp;"Arial Narrow,Regular"Giyani Waste Disposal Site Development</oddFooter>
  </headerFooter>
  <rowBreaks count="3" manualBreakCount="3">
    <brk id="88" max="6" man="1"/>
    <brk id="174" max="6" man="1"/>
    <brk id="239"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view="pageBreakPreview" topLeftCell="A58" zoomScaleNormal="100" zoomScaleSheetLayoutView="100" workbookViewId="0">
      <selection activeCell="C79" sqref="C79"/>
    </sheetView>
  </sheetViews>
  <sheetFormatPr defaultColWidth="9.109375" defaultRowHeight="13.8"/>
  <cols>
    <col min="1" max="1" width="14.33203125" style="100" customWidth="1"/>
    <col min="2" max="2" width="14.33203125" style="99" customWidth="1"/>
    <col min="3" max="3" width="80" style="99" customWidth="1"/>
    <col min="4" max="4" width="9.109375" style="100"/>
    <col min="5" max="5" width="13.5546875" style="100" customWidth="1"/>
    <col min="6" max="6" width="11.109375" style="100" customWidth="1"/>
    <col min="7" max="7" width="14.5546875" style="100" customWidth="1"/>
    <col min="8" max="16384" width="9.109375" style="99"/>
  </cols>
  <sheetData>
    <row r="1" spans="1:7">
      <c r="A1" s="130" t="str">
        <f>'1-P&amp;G''s '!A1</f>
        <v>GREATER LETABA MUNICIPALITY</v>
      </c>
      <c r="B1" s="130"/>
      <c r="C1" s="130"/>
      <c r="D1" s="35"/>
      <c r="E1" s="88"/>
      <c r="F1" s="82"/>
      <c r="G1" s="85"/>
    </row>
    <row r="2" spans="1:7">
      <c r="A2" s="130" t="str">
        <f>'1-P&amp;G''s '!A2</f>
        <v>CONTRACT NUMBER: GLM015/2025</v>
      </c>
      <c r="B2" s="130"/>
      <c r="C2" s="130"/>
      <c r="D2" s="1"/>
      <c r="E2" s="89"/>
      <c r="F2" s="98"/>
      <c r="G2" s="85"/>
    </row>
    <row r="3" spans="1:7">
      <c r="A3" s="130" t="str">
        <f>'1-P&amp;G''s '!A3</f>
        <v>CONSTRUCTION OF MAPHALLE LANDFILL SITE PH2</v>
      </c>
      <c r="B3" s="130"/>
      <c r="C3" s="135"/>
      <c r="D3" s="35"/>
      <c r="E3" s="88"/>
      <c r="F3" s="82"/>
      <c r="G3" s="85"/>
    </row>
    <row r="4" spans="1:7">
      <c r="A4" s="2248"/>
      <c r="B4" s="2248"/>
      <c r="C4" s="2248"/>
      <c r="D4" s="2248"/>
      <c r="E4" s="88"/>
      <c r="F4" s="82"/>
      <c r="G4" s="85"/>
    </row>
    <row r="5" spans="1:7">
      <c r="A5" s="130" t="s">
        <v>559</v>
      </c>
      <c r="B5" s="130"/>
      <c r="C5" s="130"/>
      <c r="D5" s="1"/>
      <c r="E5" s="89"/>
      <c r="F5" s="82"/>
      <c r="G5" s="85"/>
    </row>
    <row r="6" spans="1:7" ht="14.4" thickBot="1">
      <c r="A6" s="35"/>
      <c r="B6" s="35"/>
      <c r="C6" s="2"/>
      <c r="D6" s="35"/>
      <c r="E6" s="88"/>
      <c r="F6" s="82"/>
      <c r="G6" s="85"/>
    </row>
    <row r="7" spans="1:7">
      <c r="A7" s="2142" t="s">
        <v>111</v>
      </c>
      <c r="B7" s="2142" t="s">
        <v>112</v>
      </c>
      <c r="C7" s="2260" t="s">
        <v>2</v>
      </c>
      <c r="D7" s="2262" t="s">
        <v>3</v>
      </c>
      <c r="E7" s="2268" t="s">
        <v>4</v>
      </c>
      <c r="F7" s="2264" t="s">
        <v>5</v>
      </c>
      <c r="G7" s="2266" t="s">
        <v>6</v>
      </c>
    </row>
    <row r="8" spans="1:7" ht="14.4" thickBot="1">
      <c r="A8" s="2259"/>
      <c r="B8" s="2259"/>
      <c r="C8" s="2261"/>
      <c r="D8" s="2263"/>
      <c r="E8" s="2269"/>
      <c r="F8" s="2265"/>
      <c r="G8" s="2267"/>
    </row>
    <row r="9" spans="1:7">
      <c r="A9" s="114"/>
      <c r="B9" s="114"/>
      <c r="C9" s="149"/>
      <c r="D9" s="114"/>
      <c r="E9" s="119"/>
      <c r="F9" s="118"/>
      <c r="G9" s="150"/>
    </row>
    <row r="10" spans="1:7">
      <c r="A10" s="110"/>
      <c r="B10" s="110"/>
      <c r="C10" s="168"/>
      <c r="D10" s="110"/>
      <c r="E10" s="107"/>
      <c r="F10" s="105"/>
      <c r="G10" s="103"/>
    </row>
    <row r="11" spans="1:7">
      <c r="A11" s="110"/>
      <c r="B11" s="110"/>
      <c r="C11" s="168"/>
      <c r="D11" s="110"/>
      <c r="E11" s="107"/>
      <c r="F11" s="105"/>
      <c r="G11" s="103"/>
    </row>
    <row r="12" spans="1:7">
      <c r="A12" s="110"/>
      <c r="B12" s="110"/>
      <c r="C12" s="168"/>
      <c r="D12" s="110"/>
      <c r="E12" s="107"/>
      <c r="F12" s="105"/>
      <c r="G12" s="103"/>
    </row>
    <row r="13" spans="1:7">
      <c r="A13" s="164">
        <v>1</v>
      </c>
      <c r="B13" s="164"/>
      <c r="C13" s="165" t="s">
        <v>483</v>
      </c>
      <c r="D13" s="156"/>
      <c r="E13" s="156"/>
      <c r="F13" s="105"/>
      <c r="G13" s="103"/>
    </row>
    <row r="14" spans="1:7" ht="27.6">
      <c r="A14" s="122"/>
      <c r="B14" s="122"/>
      <c r="C14" s="166" t="s">
        <v>484</v>
      </c>
      <c r="D14" s="156"/>
      <c r="E14" s="156"/>
      <c r="F14" s="105"/>
      <c r="G14" s="103"/>
    </row>
    <row r="15" spans="1:7">
      <c r="A15" s="122"/>
      <c r="B15" s="122"/>
      <c r="C15" s="166"/>
      <c r="D15" s="156"/>
      <c r="E15" s="156"/>
      <c r="F15" s="105"/>
      <c r="G15" s="103"/>
    </row>
    <row r="16" spans="1:7" ht="14.25" customHeight="1">
      <c r="A16" s="122">
        <v>1.2</v>
      </c>
      <c r="B16" s="122"/>
      <c r="C16" s="155" t="s">
        <v>532</v>
      </c>
      <c r="D16" s="156" t="s">
        <v>486</v>
      </c>
      <c r="E16" s="156">
        <v>1</v>
      </c>
      <c r="F16" s="117">
        <v>4500</v>
      </c>
      <c r="G16" s="103">
        <f>E16*F16</f>
        <v>4500</v>
      </c>
    </row>
    <row r="17" spans="1:7">
      <c r="A17" s="122"/>
      <c r="B17" s="122"/>
      <c r="C17" s="155"/>
      <c r="D17" s="156"/>
      <c r="E17" s="156"/>
      <c r="F17" s="105"/>
      <c r="G17" s="103"/>
    </row>
    <row r="18" spans="1:7">
      <c r="A18" s="122"/>
      <c r="B18" s="122"/>
      <c r="C18" s="155"/>
      <c r="D18" s="156"/>
      <c r="E18" s="156"/>
      <c r="F18" s="105"/>
      <c r="G18" s="103"/>
    </row>
    <row r="19" spans="1:7">
      <c r="A19" s="164">
        <v>2</v>
      </c>
      <c r="B19" s="164"/>
      <c r="C19" s="166" t="s">
        <v>492</v>
      </c>
      <c r="D19" s="156"/>
      <c r="E19" s="156"/>
      <c r="F19" s="123"/>
      <c r="G19" s="103"/>
    </row>
    <row r="20" spans="1:7">
      <c r="A20" s="122"/>
      <c r="B20" s="122"/>
      <c r="C20" s="155" t="s">
        <v>493</v>
      </c>
      <c r="D20" s="156"/>
      <c r="E20" s="156"/>
      <c r="F20" s="123"/>
      <c r="G20" s="103"/>
    </row>
    <row r="21" spans="1:7">
      <c r="A21" s="122"/>
      <c r="B21" s="122"/>
      <c r="C21" s="155"/>
      <c r="D21" s="156"/>
      <c r="E21" s="156"/>
      <c r="F21" s="123"/>
      <c r="G21" s="103"/>
    </row>
    <row r="22" spans="1:7">
      <c r="A22" s="122">
        <v>2.1</v>
      </c>
      <c r="B22" s="122"/>
      <c r="C22" s="155" t="s">
        <v>533</v>
      </c>
      <c r="D22" s="156" t="s">
        <v>486</v>
      </c>
      <c r="E22" s="156">
        <v>6</v>
      </c>
      <c r="F22" s="123">
        <v>775</v>
      </c>
      <c r="G22" s="103">
        <f t="shared" ref="G22:G25" si="0">E22*F22</f>
        <v>4650</v>
      </c>
    </row>
    <row r="23" spans="1:7">
      <c r="A23" s="122">
        <v>2.2000000000000002</v>
      </c>
      <c r="B23" s="122"/>
      <c r="C23" s="155" t="s">
        <v>534</v>
      </c>
      <c r="D23" s="156" t="s">
        <v>486</v>
      </c>
      <c r="E23" s="156">
        <v>5</v>
      </c>
      <c r="F23" s="123">
        <v>575</v>
      </c>
      <c r="G23" s="103">
        <f t="shared" si="0"/>
        <v>2875</v>
      </c>
    </row>
    <row r="24" spans="1:7">
      <c r="A24" s="122">
        <v>2.2999999999999998</v>
      </c>
      <c r="B24" s="122"/>
      <c r="C24" s="155" t="s">
        <v>498</v>
      </c>
      <c r="D24" s="156" t="s">
        <v>486</v>
      </c>
      <c r="E24" s="156">
        <v>1</v>
      </c>
      <c r="F24" s="123">
        <v>325</v>
      </c>
      <c r="G24" s="103">
        <f t="shared" si="0"/>
        <v>325</v>
      </c>
    </row>
    <row r="25" spans="1:7">
      <c r="A25" s="122">
        <v>2.4</v>
      </c>
      <c r="B25" s="122"/>
      <c r="C25" s="155" t="s">
        <v>499</v>
      </c>
      <c r="D25" s="156" t="s">
        <v>486</v>
      </c>
      <c r="E25" s="156">
        <v>1</v>
      </c>
      <c r="F25" s="123">
        <v>45.59</v>
      </c>
      <c r="G25" s="103">
        <f t="shared" si="0"/>
        <v>45.59</v>
      </c>
    </row>
    <row r="26" spans="1:7">
      <c r="A26" s="122"/>
      <c r="B26" s="122"/>
      <c r="C26" s="166"/>
      <c r="D26" s="156"/>
      <c r="E26" s="156"/>
      <c r="F26" s="123"/>
      <c r="G26" s="103"/>
    </row>
    <row r="27" spans="1:7">
      <c r="A27" s="164">
        <v>3</v>
      </c>
      <c r="B27" s="164"/>
      <c r="C27" s="166" t="s">
        <v>500</v>
      </c>
      <c r="D27" s="156"/>
      <c r="E27" s="156"/>
      <c r="F27" s="123"/>
      <c r="G27" s="103"/>
    </row>
    <row r="28" spans="1:7">
      <c r="A28" s="122"/>
      <c r="B28" s="122"/>
      <c r="C28" s="155" t="s">
        <v>501</v>
      </c>
      <c r="D28" s="156"/>
      <c r="E28" s="156"/>
      <c r="F28" s="123"/>
      <c r="G28" s="103"/>
    </row>
    <row r="29" spans="1:7">
      <c r="A29" s="122"/>
      <c r="B29" s="122"/>
      <c r="C29" s="166"/>
      <c r="D29" s="156"/>
      <c r="E29" s="156"/>
      <c r="F29" s="123"/>
      <c r="G29" s="103"/>
    </row>
    <row r="30" spans="1:7">
      <c r="A30" s="167">
        <v>3.1</v>
      </c>
      <c r="B30" s="167"/>
      <c r="C30" s="155" t="s">
        <v>502</v>
      </c>
      <c r="D30" s="156" t="s">
        <v>486</v>
      </c>
      <c r="E30" s="156">
        <v>15</v>
      </c>
      <c r="F30" s="123">
        <v>15.95</v>
      </c>
      <c r="G30" s="103">
        <f>E30*F30</f>
        <v>239.25</v>
      </c>
    </row>
    <row r="31" spans="1:7">
      <c r="A31" s="122"/>
      <c r="B31" s="122"/>
      <c r="C31" s="155"/>
      <c r="D31" s="156"/>
      <c r="E31" s="156"/>
      <c r="F31" s="123"/>
      <c r="G31" s="103"/>
    </row>
    <row r="32" spans="1:7">
      <c r="A32" s="164">
        <v>4</v>
      </c>
      <c r="B32" s="164"/>
      <c r="C32" s="166" t="s">
        <v>505</v>
      </c>
      <c r="D32" s="156"/>
      <c r="E32" s="156"/>
      <c r="F32" s="123"/>
      <c r="G32" s="103"/>
    </row>
    <row r="33" spans="1:7" ht="27.6">
      <c r="A33" s="122"/>
      <c r="B33" s="122"/>
      <c r="C33" s="155" t="s">
        <v>506</v>
      </c>
      <c r="D33" s="156"/>
      <c r="E33" s="156"/>
      <c r="F33" s="123"/>
      <c r="G33" s="103"/>
    </row>
    <row r="34" spans="1:7">
      <c r="A34" s="122"/>
      <c r="B34" s="122"/>
      <c r="C34" s="166"/>
      <c r="D34" s="156"/>
      <c r="E34" s="156"/>
      <c r="F34" s="123"/>
      <c r="G34" s="103"/>
    </row>
    <row r="35" spans="1:7">
      <c r="A35" s="167">
        <v>4.0999999999999996</v>
      </c>
      <c r="B35" s="167"/>
      <c r="C35" s="155" t="s">
        <v>507</v>
      </c>
      <c r="D35" s="156" t="s">
        <v>136</v>
      </c>
      <c r="E35" s="156">
        <v>100</v>
      </c>
      <c r="F35" s="123">
        <v>4.8599999999999994</v>
      </c>
      <c r="G35" s="103">
        <f>E35*F35</f>
        <v>485.99999999999994</v>
      </c>
    </row>
    <row r="36" spans="1:7">
      <c r="A36" s="122"/>
      <c r="B36" s="122"/>
      <c r="C36" s="155"/>
      <c r="D36" s="156"/>
      <c r="E36" s="156"/>
      <c r="F36" s="123"/>
      <c r="G36" s="103"/>
    </row>
    <row r="37" spans="1:7">
      <c r="A37" s="164">
        <v>5</v>
      </c>
      <c r="B37" s="164"/>
      <c r="C37" s="165" t="s">
        <v>509</v>
      </c>
      <c r="D37" s="156"/>
      <c r="E37" s="156"/>
      <c r="F37" s="123"/>
      <c r="G37" s="103"/>
    </row>
    <row r="38" spans="1:7">
      <c r="A38" s="122"/>
      <c r="B38" s="122"/>
      <c r="C38" s="166"/>
      <c r="D38" s="156"/>
      <c r="E38" s="156"/>
      <c r="F38" s="123"/>
      <c r="G38" s="103"/>
    </row>
    <row r="39" spans="1:7">
      <c r="A39" s="122">
        <v>5.0999999999999996</v>
      </c>
      <c r="B39" s="122"/>
      <c r="C39" s="155" t="s">
        <v>510</v>
      </c>
      <c r="D39" s="156" t="s">
        <v>136</v>
      </c>
      <c r="E39" s="156">
        <v>0</v>
      </c>
      <c r="F39" s="123">
        <v>40.85</v>
      </c>
      <c r="G39" s="103">
        <f t="shared" ref="G39:G41" si="1">E39*F39</f>
        <v>0</v>
      </c>
    </row>
    <row r="40" spans="1:7">
      <c r="A40" s="122">
        <v>5.2</v>
      </c>
      <c r="B40" s="122"/>
      <c r="C40" s="155" t="s">
        <v>511</v>
      </c>
      <c r="D40" s="156" t="s">
        <v>136</v>
      </c>
      <c r="E40" s="156">
        <v>10</v>
      </c>
      <c r="F40" s="123">
        <v>40.85</v>
      </c>
      <c r="G40" s="103">
        <f t="shared" si="1"/>
        <v>408.5</v>
      </c>
    </row>
    <row r="41" spans="1:7">
      <c r="A41" s="167">
        <v>5.3</v>
      </c>
      <c r="B41" s="167"/>
      <c r="C41" s="155" t="s">
        <v>512</v>
      </c>
      <c r="D41" s="156" t="s">
        <v>136</v>
      </c>
      <c r="E41" s="156">
        <v>0</v>
      </c>
      <c r="F41" s="123">
        <v>52.85</v>
      </c>
      <c r="G41" s="103">
        <f t="shared" si="1"/>
        <v>0</v>
      </c>
    </row>
    <row r="42" spans="1:7">
      <c r="A42" s="122"/>
      <c r="B42" s="122"/>
      <c r="C42" s="166"/>
      <c r="D42" s="156"/>
      <c r="E42" s="156"/>
      <c r="F42" s="123"/>
      <c r="G42" s="103"/>
    </row>
    <row r="43" spans="1:7">
      <c r="A43" s="164">
        <v>6</v>
      </c>
      <c r="B43" s="164"/>
      <c r="C43" s="166" t="s">
        <v>513</v>
      </c>
      <c r="D43" s="156"/>
      <c r="E43" s="156"/>
      <c r="F43" s="123"/>
      <c r="G43" s="103"/>
    </row>
    <row r="44" spans="1:7" ht="27.6">
      <c r="A44" s="122"/>
      <c r="B44" s="122"/>
      <c r="C44" s="155" t="s">
        <v>514</v>
      </c>
      <c r="D44" s="156"/>
      <c r="E44" s="156"/>
      <c r="F44" s="123"/>
      <c r="G44" s="103"/>
    </row>
    <row r="45" spans="1:7">
      <c r="A45" s="122"/>
      <c r="B45" s="122"/>
      <c r="C45" s="166"/>
      <c r="D45" s="156"/>
      <c r="E45" s="156"/>
      <c r="F45" s="123"/>
      <c r="G45" s="103"/>
    </row>
    <row r="46" spans="1:7" ht="16.2">
      <c r="A46" s="167">
        <v>6.1</v>
      </c>
      <c r="B46" s="167"/>
      <c r="C46" s="155" t="s">
        <v>529</v>
      </c>
      <c r="D46" s="156" t="s">
        <v>136</v>
      </c>
      <c r="E46" s="156">
        <v>300</v>
      </c>
      <c r="F46" s="123">
        <v>3.0700000000000003</v>
      </c>
      <c r="G46" s="103">
        <f>E46*F46</f>
        <v>921.00000000000011</v>
      </c>
    </row>
    <row r="47" spans="1:7">
      <c r="A47" s="122"/>
      <c r="B47" s="122"/>
      <c r="C47" s="155"/>
      <c r="D47" s="156"/>
      <c r="E47" s="156"/>
      <c r="F47" s="123"/>
      <c r="G47" s="103"/>
    </row>
    <row r="48" spans="1:7">
      <c r="A48" s="164">
        <v>7</v>
      </c>
      <c r="B48" s="164"/>
      <c r="C48" s="166" t="s">
        <v>515</v>
      </c>
      <c r="D48" s="156"/>
      <c r="E48" s="156"/>
      <c r="F48" s="123"/>
      <c r="G48" s="103"/>
    </row>
    <row r="49" spans="1:7" ht="27.6">
      <c r="A49" s="122"/>
      <c r="B49" s="122"/>
      <c r="C49" s="155" t="s">
        <v>516</v>
      </c>
      <c r="D49" s="156"/>
      <c r="E49" s="156"/>
      <c r="F49" s="123"/>
      <c r="G49" s="103"/>
    </row>
    <row r="50" spans="1:7">
      <c r="A50" s="122"/>
      <c r="B50" s="122"/>
      <c r="C50" s="155"/>
      <c r="D50" s="156"/>
      <c r="E50" s="156"/>
      <c r="F50" s="123"/>
      <c r="G50" s="103"/>
    </row>
    <row r="51" spans="1:7">
      <c r="A51" s="167">
        <v>7.1</v>
      </c>
      <c r="B51" s="167"/>
      <c r="C51" s="155" t="s">
        <v>517</v>
      </c>
      <c r="D51" s="156" t="s">
        <v>136</v>
      </c>
      <c r="E51" s="156">
        <v>100</v>
      </c>
      <c r="F51" s="123">
        <v>1.1000000000000001</v>
      </c>
      <c r="G51" s="103">
        <f>E51*F51</f>
        <v>110.00000000000001</v>
      </c>
    </row>
    <row r="52" spans="1:7">
      <c r="A52" s="122"/>
      <c r="B52" s="122"/>
      <c r="C52" s="166"/>
      <c r="D52" s="156"/>
      <c r="E52" s="156"/>
      <c r="F52" s="123"/>
      <c r="G52" s="103"/>
    </row>
    <row r="53" spans="1:7">
      <c r="A53" s="167"/>
      <c r="B53" s="167"/>
      <c r="C53" s="155"/>
      <c r="D53" s="156"/>
      <c r="E53" s="156"/>
      <c r="F53" s="123"/>
      <c r="G53" s="103"/>
    </row>
    <row r="54" spans="1:7">
      <c r="A54" s="164">
        <v>8</v>
      </c>
      <c r="B54" s="164"/>
      <c r="C54" s="166" t="s">
        <v>525</v>
      </c>
      <c r="D54" s="156"/>
      <c r="E54" s="156"/>
      <c r="F54" s="123"/>
      <c r="G54" s="103"/>
    </row>
    <row r="55" spans="1:7">
      <c r="A55" s="122"/>
      <c r="B55" s="122"/>
      <c r="C55" s="155" t="s">
        <v>526</v>
      </c>
      <c r="D55" s="156"/>
      <c r="E55" s="156"/>
      <c r="F55" s="123"/>
      <c r="G55" s="103"/>
    </row>
    <row r="56" spans="1:7">
      <c r="A56" s="122"/>
      <c r="B56" s="122"/>
      <c r="C56" s="166"/>
      <c r="D56" s="156"/>
      <c r="E56" s="156"/>
      <c r="F56" s="123"/>
      <c r="G56" s="103"/>
    </row>
    <row r="57" spans="1:7">
      <c r="A57" s="167">
        <v>8.1</v>
      </c>
      <c r="B57" s="167"/>
      <c r="C57" s="155" t="s">
        <v>527</v>
      </c>
      <c r="D57" s="156" t="s">
        <v>524</v>
      </c>
      <c r="E57" s="156">
        <v>1</v>
      </c>
      <c r="F57" s="123">
        <v>4450</v>
      </c>
      <c r="G57" s="103">
        <f>E57*F57</f>
        <v>4450</v>
      </c>
    </row>
    <row r="58" spans="1:7">
      <c r="A58" s="167"/>
      <c r="B58" s="167"/>
      <c r="C58" s="155"/>
      <c r="D58" s="156"/>
      <c r="E58" s="156"/>
      <c r="F58" s="123"/>
      <c r="G58" s="103"/>
    </row>
    <row r="59" spans="1:7">
      <c r="A59" s="164"/>
      <c r="B59" s="164"/>
      <c r="C59" s="166"/>
      <c r="D59" s="156"/>
      <c r="E59" s="156"/>
      <c r="F59" s="123"/>
      <c r="G59" s="103"/>
    </row>
    <row r="60" spans="1:7">
      <c r="A60" s="122"/>
      <c r="B60" s="121"/>
      <c r="C60" s="121"/>
      <c r="D60" s="110"/>
      <c r="E60" s="123"/>
      <c r="F60" s="123"/>
      <c r="G60" s="103"/>
    </row>
    <row r="61" spans="1:7">
      <c r="A61" s="122"/>
      <c r="B61" s="121"/>
      <c r="C61" s="121"/>
      <c r="D61" s="122"/>
      <c r="E61" s="123"/>
      <c r="F61" s="123"/>
      <c r="G61" s="103"/>
    </row>
    <row r="62" spans="1:7">
      <c r="A62" s="122"/>
      <c r="B62" s="121"/>
      <c r="C62" s="121"/>
      <c r="D62" s="122"/>
      <c r="E62" s="123"/>
      <c r="F62" s="123"/>
      <c r="G62" s="103"/>
    </row>
    <row r="63" spans="1:7">
      <c r="A63" s="122"/>
      <c r="B63" s="121"/>
      <c r="C63" s="121"/>
      <c r="D63" s="110"/>
      <c r="E63" s="123"/>
      <c r="F63" s="123"/>
      <c r="G63" s="103"/>
    </row>
    <row r="64" spans="1:7">
      <c r="A64" s="122"/>
      <c r="B64" s="121"/>
      <c r="C64" s="121"/>
      <c r="D64" s="110"/>
      <c r="E64" s="123"/>
      <c r="F64" s="123"/>
      <c r="G64" s="103"/>
    </row>
    <row r="65" spans="1:7">
      <c r="A65" s="122"/>
      <c r="B65" s="121"/>
      <c r="C65" s="121"/>
      <c r="D65" s="122"/>
      <c r="E65" s="123"/>
      <c r="F65" s="123"/>
      <c r="G65" s="103"/>
    </row>
    <row r="66" spans="1:7">
      <c r="A66" s="122"/>
      <c r="B66" s="121"/>
      <c r="C66" s="121"/>
      <c r="D66" s="122"/>
      <c r="E66" s="123"/>
      <c r="F66" s="123"/>
      <c r="G66" s="103"/>
    </row>
    <row r="67" spans="1:7">
      <c r="A67" s="122"/>
      <c r="B67" s="121"/>
      <c r="C67" s="121"/>
      <c r="D67" s="122"/>
      <c r="E67" s="123"/>
      <c r="F67" s="123"/>
      <c r="G67" s="103"/>
    </row>
    <row r="68" spans="1:7">
      <c r="A68" s="122"/>
      <c r="B68" s="121"/>
      <c r="C68" s="121"/>
      <c r="D68" s="122"/>
      <c r="E68" s="123"/>
      <c r="F68" s="123"/>
      <c r="G68" s="103"/>
    </row>
    <row r="69" spans="1:7">
      <c r="A69" s="122"/>
      <c r="B69" s="121"/>
      <c r="C69" s="121"/>
      <c r="D69" s="112"/>
      <c r="E69" s="123"/>
      <c r="F69" s="123"/>
      <c r="G69" s="103"/>
    </row>
    <row r="70" spans="1:7">
      <c r="A70" s="122"/>
      <c r="B70" s="121"/>
      <c r="C70" s="121"/>
      <c r="D70" s="112"/>
      <c r="E70" s="123"/>
      <c r="F70" s="123"/>
      <c r="G70" s="103"/>
    </row>
    <row r="71" spans="1:7">
      <c r="A71" s="122"/>
      <c r="B71" s="121"/>
      <c r="C71" s="121"/>
      <c r="D71" s="112"/>
      <c r="E71" s="123"/>
      <c r="F71" s="123"/>
      <c r="G71" s="103"/>
    </row>
    <row r="72" spans="1:7">
      <c r="A72" s="122"/>
      <c r="B72" s="121"/>
      <c r="C72" s="121"/>
      <c r="D72" s="122"/>
      <c r="E72" s="123"/>
      <c r="F72" s="123"/>
      <c r="G72" s="103"/>
    </row>
    <row r="73" spans="1:7">
      <c r="A73" s="122"/>
      <c r="B73" s="121"/>
      <c r="C73" s="121"/>
      <c r="D73" s="122"/>
      <c r="E73" s="123"/>
      <c r="F73" s="123"/>
      <c r="G73" s="103"/>
    </row>
    <row r="74" spans="1:7">
      <c r="A74" s="122"/>
      <c r="B74" s="121"/>
      <c r="C74" s="121"/>
      <c r="D74" s="122"/>
      <c r="E74" s="123"/>
      <c r="F74" s="123"/>
      <c r="G74" s="103"/>
    </row>
    <row r="75" spans="1:7">
      <c r="A75" s="122"/>
      <c r="B75" s="121"/>
      <c r="C75" s="121"/>
      <c r="D75" s="122"/>
      <c r="E75" s="123"/>
      <c r="F75" s="123"/>
      <c r="G75" s="103"/>
    </row>
    <row r="76" spans="1:7">
      <c r="A76" s="122"/>
      <c r="B76" s="132"/>
      <c r="C76" s="121"/>
      <c r="D76" s="110"/>
      <c r="E76" s="107"/>
      <c r="F76" s="105"/>
      <c r="G76" s="103"/>
    </row>
    <row r="77" spans="1:7">
      <c r="A77" s="122"/>
      <c r="B77" s="132"/>
      <c r="C77" s="121"/>
      <c r="D77" s="110"/>
      <c r="E77" s="107"/>
      <c r="F77" s="105"/>
      <c r="G77" s="103"/>
    </row>
    <row r="78" spans="1:7">
      <c r="A78" s="122"/>
      <c r="B78" s="132"/>
      <c r="C78" s="121"/>
      <c r="D78" s="110"/>
      <c r="E78" s="107"/>
      <c r="F78" s="105"/>
      <c r="G78" s="103"/>
    </row>
    <row r="79" spans="1:7">
      <c r="A79" s="122"/>
      <c r="B79" s="132"/>
      <c r="C79" s="121"/>
      <c r="D79" s="110"/>
      <c r="E79" s="107"/>
      <c r="F79" s="105"/>
      <c r="G79" s="103"/>
    </row>
    <row r="80" spans="1:7">
      <c r="A80" s="122"/>
      <c r="B80" s="132"/>
      <c r="C80" s="121"/>
      <c r="D80" s="112"/>
      <c r="E80" s="123"/>
      <c r="F80" s="123"/>
      <c r="G80" s="103"/>
    </row>
    <row r="81" spans="1:7">
      <c r="A81" s="122"/>
      <c r="B81" s="132"/>
      <c r="C81" s="121"/>
      <c r="D81" s="112"/>
      <c r="E81" s="123"/>
      <c r="F81" s="123"/>
      <c r="G81" s="103"/>
    </row>
    <row r="82" spans="1:7" ht="14.4" thickBot="1">
      <c r="A82" s="113"/>
      <c r="B82" s="113"/>
      <c r="C82" s="153"/>
      <c r="D82" s="113"/>
      <c r="E82" s="109"/>
      <c r="F82" s="106"/>
      <c r="G82" s="104"/>
    </row>
    <row r="83" spans="1:7" ht="14.4" thickBot="1">
      <c r="A83" s="2274" t="s">
        <v>139</v>
      </c>
      <c r="B83" s="2275"/>
      <c r="C83" s="2275"/>
      <c r="D83" s="2275"/>
      <c r="E83" s="2275"/>
      <c r="F83" s="2276"/>
      <c r="G83" s="102">
        <f>SUM(G14:G82)</f>
        <v>19010.34</v>
      </c>
    </row>
  </sheetData>
  <mergeCells count="9">
    <mergeCell ref="F7:F8"/>
    <mergeCell ref="G7:G8"/>
    <mergeCell ref="A83:F83"/>
    <mergeCell ref="A4:D4"/>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55" fitToHeight="0" orientation="portrait" r:id="rId1"/>
  <headerFooter scaleWithDoc="0" alignWithMargins="0">
    <oddHeader>&amp;C&amp;"Arial Narrow,Regular"&amp;10C39.&amp;P</oddHeader>
    <oddFooter>&amp;L&amp;"Arial Narrow,Regular"Giyani Waste Disposal Site Development</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6" zoomScale="85" zoomScaleNormal="100" zoomScaleSheetLayoutView="85" workbookViewId="0">
      <selection activeCell="F23" sqref="F23"/>
    </sheetView>
  </sheetViews>
  <sheetFormatPr defaultColWidth="9.109375" defaultRowHeight="13.8"/>
  <cols>
    <col min="1" max="1" width="9.109375" style="100"/>
    <col min="2" max="2" width="11.6640625" style="99" customWidth="1"/>
    <col min="3" max="3" width="62.5546875" style="99" customWidth="1"/>
    <col min="4" max="4" width="15.6640625" style="100" customWidth="1"/>
    <col min="5" max="5" width="19.109375" style="100" customWidth="1"/>
    <col min="6" max="6" width="15.6640625" style="100" customWidth="1"/>
    <col min="7" max="7" width="18.33203125" style="99" customWidth="1"/>
    <col min="8" max="8" width="9.109375" style="99"/>
    <col min="9" max="9" width="32.44140625" style="99" customWidth="1"/>
    <col min="10" max="16384" width="9.109375" style="99"/>
  </cols>
  <sheetData>
    <row r="1" spans="1:9">
      <c r="A1" s="130" t="str">
        <f>'1-P&amp;G''s '!A1</f>
        <v>GREATER LETABA MUNICIPALITY</v>
      </c>
      <c r="B1" s="130"/>
      <c r="C1" s="130"/>
      <c r="D1" s="135"/>
      <c r="E1" s="85"/>
      <c r="F1" s="85"/>
    </row>
    <row r="2" spans="1:9">
      <c r="A2" s="130" t="str">
        <f>'1-P&amp;G''s '!A2</f>
        <v>CONTRACT NUMBER: GLM015/2025</v>
      </c>
      <c r="B2" s="130"/>
      <c r="C2" s="130"/>
      <c r="D2" s="130"/>
      <c r="E2" s="85"/>
      <c r="F2" s="85"/>
    </row>
    <row r="3" spans="1:9">
      <c r="A3" s="130" t="str">
        <f>'1-P&amp;G''s '!A3</f>
        <v>CONSTRUCTION OF MAPHALLE LANDFILL SITE PH2</v>
      </c>
      <c r="B3" s="130"/>
      <c r="C3" s="135"/>
      <c r="D3" s="135"/>
      <c r="E3" s="85"/>
      <c r="F3" s="85"/>
    </row>
    <row r="4" spans="1:9">
      <c r="A4" s="2248"/>
      <c r="B4" s="2248"/>
      <c r="C4" s="2248"/>
      <c r="D4" s="2248"/>
      <c r="E4" s="85"/>
      <c r="F4" s="85"/>
    </row>
    <row r="5" spans="1:9">
      <c r="A5" s="130" t="s">
        <v>563</v>
      </c>
      <c r="B5" s="3"/>
      <c r="C5" s="3"/>
      <c r="D5" s="1"/>
      <c r="E5" s="85"/>
      <c r="F5" s="85"/>
    </row>
    <row r="6" spans="1:9" ht="14.4" thickBot="1">
      <c r="A6" s="35"/>
      <c r="B6" s="35"/>
      <c r="C6" s="2"/>
      <c r="D6" s="35"/>
      <c r="E6" s="85"/>
      <c r="F6" s="85"/>
    </row>
    <row r="7" spans="1:9">
      <c r="A7" s="2142" t="s">
        <v>111</v>
      </c>
      <c r="B7" s="2142" t="s">
        <v>112</v>
      </c>
      <c r="C7" s="2260" t="s">
        <v>2</v>
      </c>
      <c r="D7" s="184" t="s">
        <v>3</v>
      </c>
      <c r="E7" s="185" t="s">
        <v>564</v>
      </c>
      <c r="F7" s="185" t="s">
        <v>5</v>
      </c>
      <c r="G7" s="185" t="s">
        <v>565</v>
      </c>
    </row>
    <row r="8" spans="1:9" ht="14.4" thickBot="1">
      <c r="A8" s="2259"/>
      <c r="B8" s="2259"/>
      <c r="C8" s="2261"/>
      <c r="D8" s="186"/>
      <c r="E8" s="187"/>
      <c r="F8" s="187"/>
      <c r="G8" s="187" t="s">
        <v>6</v>
      </c>
      <c r="H8" s="885"/>
    </row>
    <row r="9" spans="1:9">
      <c r="A9" s="114"/>
      <c r="B9" s="114"/>
      <c r="C9" s="149"/>
      <c r="D9" s="110"/>
      <c r="E9" s="59"/>
      <c r="F9" s="59"/>
      <c r="G9" s="181"/>
    </row>
    <row r="10" spans="1:9">
      <c r="A10" s="115"/>
      <c r="B10" s="132"/>
      <c r="C10" s="151" t="s">
        <v>562</v>
      </c>
      <c r="D10" s="110"/>
      <c r="E10" s="33"/>
      <c r="F10" s="33"/>
      <c r="G10" s="182"/>
    </row>
    <row r="11" spans="1:9">
      <c r="A11" s="110"/>
      <c r="B11" s="110"/>
      <c r="C11" s="134"/>
      <c r="D11" s="110"/>
      <c r="E11" s="33"/>
      <c r="F11" s="33"/>
      <c r="G11" s="182"/>
    </row>
    <row r="12" spans="1:9" ht="27.6">
      <c r="A12" s="122">
        <v>12.1</v>
      </c>
      <c r="B12" s="121"/>
      <c r="C12" s="155" t="s">
        <v>561</v>
      </c>
      <c r="D12" s="111" t="s">
        <v>460</v>
      </c>
      <c r="E12" s="899">
        <v>1</v>
      </c>
      <c r="F12" s="900">
        <v>8000000</v>
      </c>
      <c r="G12" s="902">
        <f>E12*F12</f>
        <v>8000000</v>
      </c>
      <c r="I12" s="904" t="s">
        <v>859</v>
      </c>
    </row>
    <row r="13" spans="1:9">
      <c r="A13" s="122"/>
      <c r="B13" s="121"/>
      <c r="C13" s="121"/>
      <c r="D13" s="156"/>
      <c r="E13" s="899"/>
      <c r="F13" s="900"/>
      <c r="G13" s="902"/>
    </row>
    <row r="14" spans="1:9">
      <c r="A14" s="122">
        <v>12.2</v>
      </c>
      <c r="B14" s="121"/>
      <c r="C14" s="121" t="s">
        <v>206</v>
      </c>
      <c r="D14" s="156" t="s">
        <v>55</v>
      </c>
      <c r="E14" s="899">
        <v>8000000</v>
      </c>
      <c r="F14" s="901">
        <v>0.05</v>
      </c>
      <c r="G14" s="902">
        <f>E14*F14</f>
        <v>400000</v>
      </c>
    </row>
    <row r="15" spans="1:9">
      <c r="A15" s="122"/>
      <c r="B15" s="121"/>
      <c r="C15" s="121" t="s">
        <v>459</v>
      </c>
      <c r="D15" s="156"/>
      <c r="E15" s="899"/>
      <c r="F15" s="899"/>
      <c r="G15" s="903"/>
    </row>
    <row r="16" spans="1:9">
      <c r="A16" s="122"/>
      <c r="B16" s="121"/>
      <c r="C16" s="121"/>
      <c r="D16" s="156"/>
      <c r="E16" s="33"/>
      <c r="F16" s="33"/>
      <c r="G16" s="182"/>
    </row>
    <row r="17" spans="1:7">
      <c r="A17" s="122"/>
      <c r="B17" s="121"/>
      <c r="C17" s="121"/>
      <c r="D17" s="156"/>
      <c r="E17" s="33"/>
      <c r="F17" s="33"/>
      <c r="G17" s="182"/>
    </row>
    <row r="18" spans="1:7">
      <c r="A18" s="156"/>
      <c r="B18" s="121"/>
      <c r="C18" s="155"/>
      <c r="D18" s="111"/>
      <c r="E18" s="33"/>
      <c r="F18" s="33"/>
      <c r="G18" s="182"/>
    </row>
    <row r="19" spans="1:7">
      <c r="A19" s="122"/>
      <c r="B19" s="121"/>
      <c r="C19" s="121"/>
      <c r="D19" s="156"/>
      <c r="E19" s="33"/>
      <c r="F19" s="33"/>
      <c r="G19" s="182"/>
    </row>
    <row r="20" spans="1:7">
      <c r="A20" s="122"/>
      <c r="B20" s="121"/>
      <c r="C20" s="121"/>
      <c r="D20" s="156"/>
      <c r="E20" s="33"/>
      <c r="F20" s="33"/>
      <c r="G20" s="182"/>
    </row>
    <row r="21" spans="1:7">
      <c r="A21" s="122"/>
      <c r="B21" s="121"/>
      <c r="C21" s="121"/>
      <c r="D21" s="112"/>
      <c r="E21" s="33"/>
      <c r="F21" s="33"/>
      <c r="G21" s="182"/>
    </row>
    <row r="22" spans="1:7">
      <c r="A22" s="122"/>
      <c r="B22" s="121"/>
      <c r="C22" s="121"/>
      <c r="D22" s="122"/>
      <c r="E22" s="33"/>
      <c r="F22" s="33"/>
      <c r="G22" s="182"/>
    </row>
    <row r="23" spans="1:7">
      <c r="A23" s="122"/>
      <c r="B23" s="121"/>
      <c r="C23" s="121"/>
      <c r="D23" s="122"/>
      <c r="E23" s="33"/>
      <c r="F23" s="33"/>
      <c r="G23" s="182"/>
    </row>
    <row r="24" spans="1:7">
      <c r="A24" s="122"/>
      <c r="B24" s="121"/>
      <c r="C24" s="121"/>
      <c r="D24" s="122"/>
      <c r="E24" s="33"/>
      <c r="F24" s="33"/>
      <c r="G24" s="182"/>
    </row>
    <row r="25" spans="1:7">
      <c r="A25" s="122"/>
      <c r="B25" s="121"/>
      <c r="C25" s="121"/>
      <c r="D25" s="110"/>
      <c r="E25" s="33"/>
      <c r="F25" s="33"/>
      <c r="G25" s="182"/>
    </row>
    <row r="26" spans="1:7">
      <c r="A26" s="122"/>
      <c r="B26" s="121"/>
      <c r="C26" s="121"/>
      <c r="D26" s="122"/>
      <c r="E26" s="33"/>
      <c r="F26" s="33"/>
      <c r="G26" s="182"/>
    </row>
    <row r="27" spans="1:7">
      <c r="A27" s="122"/>
      <c r="B27" s="121"/>
      <c r="C27" s="121"/>
      <c r="D27" s="122"/>
      <c r="E27" s="33"/>
      <c r="F27" s="33"/>
      <c r="G27" s="182"/>
    </row>
    <row r="28" spans="1:7">
      <c r="A28" s="122"/>
      <c r="B28" s="121"/>
      <c r="C28" s="121"/>
      <c r="D28" s="122"/>
      <c r="E28" s="33"/>
      <c r="F28" s="33"/>
      <c r="G28" s="182"/>
    </row>
    <row r="29" spans="1:7">
      <c r="A29" s="122"/>
      <c r="B29" s="121"/>
      <c r="C29" s="121"/>
      <c r="D29" s="122"/>
      <c r="E29" s="33"/>
      <c r="F29" s="33"/>
      <c r="G29" s="182"/>
    </row>
    <row r="30" spans="1:7">
      <c r="A30" s="122"/>
      <c r="B30" s="121"/>
      <c r="C30" s="121"/>
      <c r="D30" s="122"/>
      <c r="E30" s="33"/>
      <c r="F30" s="33"/>
      <c r="G30" s="182"/>
    </row>
    <row r="31" spans="1:7">
      <c r="A31" s="122"/>
      <c r="B31" s="121"/>
      <c r="C31" s="121"/>
      <c r="D31" s="112"/>
      <c r="E31" s="33"/>
      <c r="F31" s="33"/>
      <c r="G31" s="182"/>
    </row>
    <row r="32" spans="1:7">
      <c r="A32" s="122"/>
      <c r="B32" s="121"/>
      <c r="C32" s="121"/>
      <c r="D32" s="112"/>
      <c r="E32" s="33"/>
      <c r="F32" s="33"/>
      <c r="G32" s="182"/>
    </row>
    <row r="33" spans="1:7">
      <c r="A33" s="122"/>
      <c r="B33" s="121"/>
      <c r="C33" s="121"/>
      <c r="D33" s="112"/>
      <c r="E33" s="33"/>
      <c r="F33" s="33"/>
      <c r="G33" s="182"/>
    </row>
    <row r="34" spans="1:7">
      <c r="A34" s="122"/>
      <c r="B34" s="121"/>
      <c r="C34" s="121"/>
      <c r="D34" s="122"/>
      <c r="E34" s="33"/>
      <c r="F34" s="33"/>
      <c r="G34" s="182"/>
    </row>
    <row r="35" spans="1:7">
      <c r="A35" s="122"/>
      <c r="B35" s="121"/>
      <c r="C35" s="121"/>
      <c r="D35" s="122"/>
      <c r="E35" s="33"/>
      <c r="F35" s="33"/>
      <c r="G35" s="182"/>
    </row>
    <row r="36" spans="1:7">
      <c r="A36" s="122"/>
      <c r="B36" s="121"/>
      <c r="C36" s="121"/>
      <c r="D36" s="122"/>
      <c r="E36" s="33"/>
      <c r="F36" s="33"/>
      <c r="G36" s="182"/>
    </row>
    <row r="37" spans="1:7">
      <c r="A37" s="122"/>
      <c r="B37" s="121"/>
      <c r="C37" s="121"/>
      <c r="D37" s="122"/>
      <c r="E37" s="33"/>
      <c r="F37" s="33"/>
      <c r="G37" s="182"/>
    </row>
    <row r="38" spans="1:7">
      <c r="A38" s="122"/>
      <c r="B38" s="121"/>
      <c r="C38" s="152"/>
      <c r="D38" s="122"/>
      <c r="E38" s="33"/>
      <c r="F38" s="33"/>
      <c r="G38" s="182"/>
    </row>
    <row r="39" spans="1:7">
      <c r="A39" s="122"/>
      <c r="B39" s="121"/>
      <c r="C39" s="152"/>
      <c r="D39" s="122"/>
      <c r="E39" s="33"/>
      <c r="F39" s="33"/>
      <c r="G39" s="182"/>
    </row>
    <row r="40" spans="1:7">
      <c r="A40" s="122"/>
      <c r="B40" s="121"/>
      <c r="C40" s="121"/>
      <c r="D40" s="122"/>
      <c r="E40" s="33"/>
      <c r="F40" s="33"/>
      <c r="G40" s="182"/>
    </row>
    <row r="41" spans="1:7">
      <c r="A41" s="122"/>
      <c r="B41" s="121"/>
      <c r="C41" s="121"/>
      <c r="D41" s="122"/>
      <c r="E41" s="33"/>
      <c r="F41" s="33"/>
      <c r="G41" s="182"/>
    </row>
    <row r="42" spans="1:7">
      <c r="A42" s="122"/>
      <c r="B42" s="121"/>
      <c r="C42" s="121"/>
      <c r="D42" s="122"/>
      <c r="E42" s="33"/>
      <c r="F42" s="33"/>
      <c r="G42" s="182"/>
    </row>
    <row r="43" spans="1:7">
      <c r="A43" s="122"/>
      <c r="B43" s="121"/>
      <c r="C43" s="121"/>
      <c r="D43" s="122"/>
      <c r="E43" s="33"/>
      <c r="F43" s="33"/>
      <c r="G43" s="182"/>
    </row>
    <row r="44" spans="1:7">
      <c r="A44" s="122"/>
      <c r="B44" s="121"/>
      <c r="C44" s="121"/>
      <c r="D44" s="122"/>
      <c r="E44" s="33"/>
      <c r="F44" s="33"/>
      <c r="G44" s="182"/>
    </row>
    <row r="45" spans="1:7">
      <c r="A45" s="122"/>
      <c r="B45" s="121"/>
      <c r="C45" s="121"/>
      <c r="D45" s="122"/>
      <c r="E45" s="33"/>
      <c r="F45" s="33"/>
      <c r="G45" s="182"/>
    </row>
    <row r="46" spans="1:7">
      <c r="A46" s="122"/>
      <c r="B46" s="121"/>
      <c r="C46" s="121"/>
      <c r="D46" s="122"/>
      <c r="E46" s="33"/>
      <c r="F46" s="33"/>
      <c r="G46" s="182"/>
    </row>
    <row r="47" spans="1:7">
      <c r="A47" s="122"/>
      <c r="B47" s="121"/>
      <c r="C47" s="121"/>
      <c r="D47" s="122"/>
      <c r="E47" s="33"/>
      <c r="F47" s="33"/>
      <c r="G47" s="182"/>
    </row>
    <row r="48" spans="1:7">
      <c r="A48" s="122"/>
      <c r="B48" s="132"/>
      <c r="C48" s="121"/>
      <c r="D48" s="110"/>
      <c r="E48" s="33"/>
      <c r="F48" s="33"/>
      <c r="G48" s="182"/>
    </row>
    <row r="49" spans="1:7">
      <c r="A49" s="122"/>
      <c r="B49" s="132"/>
      <c r="C49" s="121"/>
      <c r="D49" s="110"/>
      <c r="E49" s="33"/>
      <c r="F49" s="33"/>
      <c r="G49" s="182"/>
    </row>
    <row r="50" spans="1:7" ht="14.4" thickBot="1">
      <c r="A50" s="113"/>
      <c r="B50" s="113"/>
      <c r="C50" s="153"/>
      <c r="D50" s="113"/>
      <c r="E50" s="33"/>
      <c r="F50" s="33"/>
      <c r="G50" s="182"/>
    </row>
    <row r="51" spans="1:7" ht="14.4" thickBot="1">
      <c r="A51" s="2274" t="s">
        <v>276</v>
      </c>
      <c r="B51" s="2275"/>
      <c r="C51" s="2275"/>
      <c r="D51" s="2275"/>
      <c r="E51" s="192"/>
      <c r="F51" s="193"/>
      <c r="G51" s="37">
        <f>SUM(G11:G50)</f>
        <v>8400000</v>
      </c>
    </row>
  </sheetData>
  <mergeCells count="5">
    <mergeCell ref="A51:D51"/>
    <mergeCell ref="A4:D4"/>
    <mergeCell ref="A7:A8"/>
    <mergeCell ref="B7:B8"/>
    <mergeCell ref="C7:C8"/>
  </mergeCells>
  <pageMargins left="0.70866141732283472" right="0.70866141732283472" top="0.74803149606299213" bottom="0.74803149606299213" header="0.31496062992125984" footer="0.31496062992125984"/>
  <pageSetup paperSize="9" scale="40" fitToHeight="0" orientation="landscape" r:id="rId1"/>
  <headerFooter scaleWithDoc="0" alignWithMargins="0">
    <oddHeader>&amp;C&amp;"Arial Narrow,Regular"&amp;10C39.&amp;P</oddHeader>
    <oddFooter>&amp;L&amp;"Arial Narrow,Regular"Construction of Giyani Waste Disposal Site</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zoomScale="85" zoomScaleNormal="100" zoomScaleSheetLayoutView="85" workbookViewId="0">
      <selection activeCell="C21" sqref="C21"/>
    </sheetView>
  </sheetViews>
  <sheetFormatPr defaultColWidth="9.109375" defaultRowHeight="13.8"/>
  <cols>
    <col min="1" max="1" width="9.109375" style="100"/>
    <col min="2" max="2" width="11.6640625" style="99" customWidth="1"/>
    <col min="3" max="3" width="62.5546875" style="99" customWidth="1"/>
    <col min="4" max="4" width="15.6640625" style="100" customWidth="1"/>
    <col min="5" max="5" width="19.109375" style="100" customWidth="1"/>
    <col min="6" max="6" width="15.6640625" style="100" customWidth="1"/>
    <col min="7" max="7" width="18.33203125" style="99" customWidth="1"/>
    <col min="8" max="8" width="9.109375" style="99"/>
    <col min="9" max="9" width="32.44140625" style="99" customWidth="1"/>
    <col min="10" max="16384" width="9.109375" style="99"/>
  </cols>
  <sheetData>
    <row r="1" spans="1:9">
      <c r="A1" s="130" t="str">
        <f>'1-P&amp;G''s '!A1</f>
        <v>GREATER LETABA MUNICIPALITY</v>
      </c>
      <c r="B1" s="130"/>
      <c r="C1" s="130"/>
      <c r="D1" s="135"/>
      <c r="E1" s="85"/>
      <c r="F1" s="85"/>
    </row>
    <row r="2" spans="1:9">
      <c r="A2" s="130" t="str">
        <f>'1-P&amp;G''s '!A2</f>
        <v>CONTRACT NUMBER: GLM015/2025</v>
      </c>
      <c r="B2" s="130"/>
      <c r="C2" s="130"/>
      <c r="D2" s="130"/>
      <c r="E2" s="85"/>
      <c r="F2" s="85"/>
    </row>
    <row r="3" spans="1:9">
      <c r="A3" s="130" t="str">
        <f>'1-P&amp;G''s '!A3</f>
        <v>CONSTRUCTION OF MAPHALLE LANDFILL SITE PH2</v>
      </c>
      <c r="B3" s="130"/>
      <c r="C3" s="135"/>
      <c r="D3" s="135"/>
      <c r="E3" s="85"/>
      <c r="F3" s="85"/>
    </row>
    <row r="4" spans="1:9">
      <c r="A4" s="2248"/>
      <c r="B4" s="2248"/>
      <c r="C4" s="2248"/>
      <c r="D4" s="2248"/>
      <c r="E4" s="85"/>
      <c r="F4" s="85"/>
    </row>
    <row r="5" spans="1:9">
      <c r="A5" s="130" t="s">
        <v>864</v>
      </c>
      <c r="B5" s="3"/>
      <c r="C5" s="3"/>
      <c r="D5" s="1"/>
      <c r="E5" s="85"/>
      <c r="F5" s="85"/>
    </row>
    <row r="6" spans="1:9" ht="14.4" thickBot="1">
      <c r="A6" s="35"/>
      <c r="B6" s="35"/>
      <c r="C6" s="2"/>
      <c r="D6" s="35"/>
      <c r="E6" s="85"/>
      <c r="F6" s="85"/>
    </row>
    <row r="7" spans="1:9">
      <c r="A7" s="2142" t="s">
        <v>111</v>
      </c>
      <c r="B7" s="2142" t="s">
        <v>112</v>
      </c>
      <c r="C7" s="2260" t="s">
        <v>2</v>
      </c>
      <c r="D7" s="184" t="s">
        <v>3</v>
      </c>
      <c r="E7" s="185" t="s">
        <v>564</v>
      </c>
      <c r="F7" s="185" t="s">
        <v>5</v>
      </c>
      <c r="G7" s="185" t="s">
        <v>565</v>
      </c>
    </row>
    <row r="8" spans="1:9" ht="14.4" thickBot="1">
      <c r="A8" s="2259"/>
      <c r="B8" s="2259"/>
      <c r="C8" s="2261"/>
      <c r="D8" s="186"/>
      <c r="E8" s="187"/>
      <c r="F8" s="187"/>
      <c r="G8" s="187" t="s">
        <v>6</v>
      </c>
      <c r="H8" s="885"/>
    </row>
    <row r="9" spans="1:9">
      <c r="A9" s="114"/>
      <c r="B9" s="114"/>
      <c r="C9" s="149"/>
      <c r="D9" s="110"/>
      <c r="E9" s="59"/>
      <c r="F9" s="59"/>
      <c r="G9" s="181"/>
    </row>
    <row r="10" spans="1:9">
      <c r="A10" s="115"/>
      <c r="B10" s="132"/>
      <c r="C10" s="151" t="s">
        <v>860</v>
      </c>
      <c r="D10" s="110"/>
      <c r="E10" s="33"/>
      <c r="F10" s="33"/>
      <c r="G10" s="182"/>
    </row>
    <row r="11" spans="1:9">
      <c r="A11" s="110"/>
      <c r="B11" s="110"/>
      <c r="C11" s="134"/>
      <c r="D11" s="110"/>
      <c r="E11" s="33"/>
      <c r="F11" s="33"/>
      <c r="G11" s="182"/>
    </row>
    <row r="12" spans="1:9" ht="27.6">
      <c r="A12" s="122">
        <v>13.1</v>
      </c>
      <c r="B12" s="121"/>
      <c r="C12" s="155" t="s">
        <v>861</v>
      </c>
      <c r="D12" s="111" t="s">
        <v>863</v>
      </c>
      <c r="E12" s="899">
        <v>1</v>
      </c>
      <c r="F12" s="900">
        <v>748695.66</v>
      </c>
      <c r="G12" s="902">
        <f>E12*F12</f>
        <v>748695.66</v>
      </c>
      <c r="I12" s="904"/>
    </row>
    <row r="13" spans="1:9" ht="69">
      <c r="A13" s="122"/>
      <c r="B13" s="121"/>
      <c r="C13" s="155" t="s">
        <v>862</v>
      </c>
      <c r="D13" s="111"/>
      <c r="E13" s="899"/>
      <c r="F13" s="900"/>
      <c r="G13" s="902"/>
      <c r="I13" s="904"/>
    </row>
    <row r="14" spans="1:9">
      <c r="A14" s="122"/>
      <c r="B14" s="121"/>
      <c r="C14" s="121"/>
      <c r="D14" s="156"/>
      <c r="E14" s="899"/>
      <c r="F14" s="900"/>
      <c r="G14" s="902"/>
    </row>
    <row r="15" spans="1:9">
      <c r="A15" s="122">
        <v>13.2</v>
      </c>
      <c r="B15" s="121"/>
      <c r="C15" s="121" t="s">
        <v>206</v>
      </c>
      <c r="D15" s="156" t="s">
        <v>55</v>
      </c>
      <c r="E15" s="899">
        <f>G12</f>
        <v>748695.66</v>
      </c>
      <c r="F15" s="901">
        <v>0.05</v>
      </c>
      <c r="G15" s="902">
        <f>E15*F15</f>
        <v>37434.783000000003</v>
      </c>
    </row>
    <row r="16" spans="1:9">
      <c r="A16" s="122"/>
      <c r="B16" s="121"/>
      <c r="C16" s="121" t="s">
        <v>459</v>
      </c>
      <c r="D16" s="156"/>
      <c r="E16" s="899"/>
      <c r="F16" s="899"/>
      <c r="G16" s="903"/>
    </row>
    <row r="17" spans="1:7">
      <c r="A17" s="122"/>
      <c r="B17" s="121"/>
      <c r="C17" s="121"/>
      <c r="D17" s="156"/>
      <c r="E17" s="33"/>
      <c r="F17" s="33"/>
      <c r="G17" s="182"/>
    </row>
    <row r="18" spans="1:7">
      <c r="A18" s="122"/>
      <c r="B18" s="121"/>
      <c r="C18" s="121"/>
      <c r="D18" s="156"/>
      <c r="E18" s="33"/>
      <c r="F18" s="33"/>
      <c r="G18" s="182"/>
    </row>
    <row r="19" spans="1:7">
      <c r="A19" s="156"/>
      <c r="B19" s="121"/>
      <c r="C19" s="155"/>
      <c r="D19" s="111"/>
      <c r="E19" s="33"/>
      <c r="F19" s="33"/>
      <c r="G19" s="182"/>
    </row>
    <row r="20" spans="1:7">
      <c r="A20" s="122"/>
      <c r="B20" s="121"/>
      <c r="C20" s="121"/>
      <c r="D20" s="156"/>
      <c r="E20" s="33"/>
      <c r="F20" s="33"/>
      <c r="G20" s="182"/>
    </row>
    <row r="21" spans="1:7">
      <c r="A21" s="122"/>
      <c r="B21" s="121"/>
      <c r="C21" s="121"/>
      <c r="D21" s="156"/>
      <c r="E21" s="33"/>
      <c r="F21" s="33"/>
      <c r="G21" s="182"/>
    </row>
    <row r="22" spans="1:7">
      <c r="A22" s="122"/>
      <c r="B22" s="121"/>
      <c r="C22" s="121"/>
      <c r="D22" s="112"/>
      <c r="E22" s="33"/>
      <c r="F22" s="33"/>
      <c r="G22" s="182"/>
    </row>
    <row r="23" spans="1:7">
      <c r="A23" s="122"/>
      <c r="B23" s="121"/>
      <c r="C23" s="121"/>
      <c r="D23" s="122"/>
      <c r="E23" s="33"/>
      <c r="F23" s="33"/>
      <c r="G23" s="182"/>
    </row>
    <row r="24" spans="1:7">
      <c r="A24" s="122"/>
      <c r="B24" s="121"/>
      <c r="C24" s="121"/>
      <c r="D24" s="122"/>
      <c r="E24" s="33"/>
      <c r="F24" s="33"/>
      <c r="G24" s="182"/>
    </row>
    <row r="25" spans="1:7">
      <c r="A25" s="122"/>
      <c r="B25" s="121"/>
      <c r="C25" s="121"/>
      <c r="D25" s="122"/>
      <c r="E25" s="33"/>
      <c r="F25" s="33"/>
      <c r="G25" s="182"/>
    </row>
    <row r="26" spans="1:7">
      <c r="A26" s="122"/>
      <c r="B26" s="121"/>
      <c r="C26" s="121"/>
      <c r="D26" s="110"/>
      <c r="E26" s="33"/>
      <c r="F26" s="33"/>
      <c r="G26" s="182"/>
    </row>
    <row r="27" spans="1:7">
      <c r="A27" s="122"/>
      <c r="B27" s="121"/>
      <c r="C27" s="121"/>
      <c r="D27" s="122"/>
      <c r="E27" s="33"/>
      <c r="F27" s="33"/>
      <c r="G27" s="182"/>
    </row>
    <row r="28" spans="1:7">
      <c r="A28" s="122"/>
      <c r="B28" s="121"/>
      <c r="C28" s="121"/>
      <c r="D28" s="122"/>
      <c r="E28" s="33"/>
      <c r="F28" s="33"/>
      <c r="G28" s="182"/>
    </row>
    <row r="29" spans="1:7">
      <c r="A29" s="122"/>
      <c r="B29" s="121"/>
      <c r="C29" s="121"/>
      <c r="D29" s="122"/>
      <c r="E29" s="33"/>
      <c r="F29" s="33"/>
      <c r="G29" s="182"/>
    </row>
    <row r="30" spans="1:7">
      <c r="A30" s="122"/>
      <c r="B30" s="121"/>
      <c r="C30" s="121"/>
      <c r="D30" s="122"/>
      <c r="E30" s="33"/>
      <c r="F30" s="33"/>
      <c r="G30" s="182"/>
    </row>
    <row r="31" spans="1:7">
      <c r="A31" s="122"/>
      <c r="B31" s="121"/>
      <c r="C31" s="121"/>
      <c r="D31" s="122"/>
      <c r="E31" s="33"/>
      <c r="F31" s="33"/>
      <c r="G31" s="182"/>
    </row>
    <row r="32" spans="1:7">
      <c r="A32" s="122"/>
      <c r="B32" s="121"/>
      <c r="C32" s="121"/>
      <c r="D32" s="112"/>
      <c r="E32" s="33"/>
      <c r="F32" s="33"/>
      <c r="G32" s="182"/>
    </row>
    <row r="33" spans="1:7">
      <c r="A33" s="122"/>
      <c r="B33" s="121"/>
      <c r="C33" s="121"/>
      <c r="D33" s="112"/>
      <c r="E33" s="33"/>
      <c r="F33" s="33"/>
      <c r="G33" s="182"/>
    </row>
    <row r="34" spans="1:7">
      <c r="A34" s="122"/>
      <c r="B34" s="121"/>
      <c r="C34" s="121"/>
      <c r="D34" s="112"/>
      <c r="E34" s="33"/>
      <c r="F34" s="33"/>
      <c r="G34" s="182"/>
    </row>
    <row r="35" spans="1:7">
      <c r="A35" s="122"/>
      <c r="B35" s="121"/>
      <c r="C35" s="121"/>
      <c r="D35" s="122"/>
      <c r="E35" s="33"/>
      <c r="F35" s="33"/>
      <c r="G35" s="182"/>
    </row>
    <row r="36" spans="1:7">
      <c r="A36" s="122"/>
      <c r="B36" s="121"/>
      <c r="C36" s="121"/>
      <c r="D36" s="122"/>
      <c r="E36" s="33"/>
      <c r="F36" s="33"/>
      <c r="G36" s="182"/>
    </row>
    <row r="37" spans="1:7">
      <c r="A37" s="122"/>
      <c r="B37" s="121"/>
      <c r="C37" s="121"/>
      <c r="D37" s="122"/>
      <c r="E37" s="33"/>
      <c r="F37" s="33"/>
      <c r="G37" s="182"/>
    </row>
    <row r="38" spans="1:7">
      <c r="A38" s="122"/>
      <c r="B38" s="121"/>
      <c r="C38" s="121"/>
      <c r="D38" s="122"/>
      <c r="E38" s="33"/>
      <c r="F38" s="33"/>
      <c r="G38" s="182"/>
    </row>
    <row r="39" spans="1:7">
      <c r="A39" s="122"/>
      <c r="B39" s="121"/>
      <c r="C39" s="152"/>
      <c r="D39" s="122"/>
      <c r="E39" s="33"/>
      <c r="F39" s="33"/>
      <c r="G39" s="182"/>
    </row>
    <row r="40" spans="1:7">
      <c r="A40" s="122"/>
      <c r="B40" s="121"/>
      <c r="C40" s="152"/>
      <c r="D40" s="122"/>
      <c r="E40" s="33"/>
      <c r="F40" s="33"/>
      <c r="G40" s="182"/>
    </row>
    <row r="41" spans="1:7">
      <c r="A41" s="122"/>
      <c r="B41" s="121"/>
      <c r="C41" s="121"/>
      <c r="D41" s="122"/>
      <c r="E41" s="33"/>
      <c r="F41" s="33"/>
      <c r="G41" s="182"/>
    </row>
    <row r="42" spans="1:7">
      <c r="A42" s="122"/>
      <c r="B42" s="121"/>
      <c r="C42" s="121"/>
      <c r="D42" s="122"/>
      <c r="E42" s="33"/>
      <c r="F42" s="33"/>
      <c r="G42" s="182"/>
    </row>
    <row r="43" spans="1:7">
      <c r="A43" s="122"/>
      <c r="B43" s="121"/>
      <c r="C43" s="121"/>
      <c r="D43" s="122"/>
      <c r="E43" s="33"/>
      <c r="F43" s="33"/>
      <c r="G43" s="182"/>
    </row>
    <row r="44" spans="1:7">
      <c r="A44" s="122"/>
      <c r="B44" s="121"/>
      <c r="C44" s="121"/>
      <c r="D44" s="122"/>
      <c r="E44" s="33"/>
      <c r="F44" s="33"/>
      <c r="G44" s="182"/>
    </row>
    <row r="45" spans="1:7">
      <c r="A45" s="122"/>
      <c r="B45" s="121"/>
      <c r="C45" s="121"/>
      <c r="D45" s="122"/>
      <c r="E45" s="33"/>
      <c r="F45" s="33"/>
      <c r="G45" s="182"/>
    </row>
    <row r="46" spans="1:7">
      <c r="A46" s="122"/>
      <c r="B46" s="121"/>
      <c r="C46" s="121"/>
      <c r="D46" s="122"/>
      <c r="E46" s="33"/>
      <c r="F46" s="33"/>
      <c r="G46" s="182"/>
    </row>
    <row r="47" spans="1:7">
      <c r="A47" s="122"/>
      <c r="B47" s="121"/>
      <c r="C47" s="121"/>
      <c r="D47" s="122"/>
      <c r="E47" s="33"/>
      <c r="F47" s="33"/>
      <c r="G47" s="182"/>
    </row>
    <row r="48" spans="1:7">
      <c r="A48" s="122"/>
      <c r="B48" s="121"/>
      <c r="C48" s="121"/>
      <c r="D48" s="122"/>
      <c r="E48" s="33"/>
      <c r="F48" s="33"/>
      <c r="G48" s="182"/>
    </row>
    <row r="49" spans="1:7">
      <c r="A49" s="122"/>
      <c r="B49" s="132"/>
      <c r="C49" s="121"/>
      <c r="D49" s="110"/>
      <c r="E49" s="33"/>
      <c r="F49" s="33"/>
      <c r="G49" s="182"/>
    </row>
    <row r="50" spans="1:7">
      <c r="A50" s="122"/>
      <c r="B50" s="132"/>
      <c r="C50" s="121"/>
      <c r="D50" s="110"/>
      <c r="E50" s="33"/>
      <c r="F50" s="33"/>
      <c r="G50" s="182"/>
    </row>
    <row r="51" spans="1:7" ht="14.4" thickBot="1">
      <c r="A51" s="113"/>
      <c r="B51" s="113"/>
      <c r="C51" s="153"/>
      <c r="D51" s="113"/>
      <c r="E51" s="33"/>
      <c r="F51" s="33"/>
      <c r="G51" s="182"/>
    </row>
    <row r="52" spans="1:7" ht="14.4" thickBot="1">
      <c r="A52" s="2274" t="s">
        <v>276</v>
      </c>
      <c r="B52" s="2275"/>
      <c r="C52" s="2275"/>
      <c r="D52" s="2275"/>
      <c r="E52" s="192"/>
      <c r="F52" s="193"/>
      <c r="G52" s="37">
        <f>SUM(G11:G51)</f>
        <v>786130.44300000009</v>
      </c>
    </row>
  </sheetData>
  <mergeCells count="5">
    <mergeCell ref="A4:D4"/>
    <mergeCell ref="A7:A8"/>
    <mergeCell ref="B7:B8"/>
    <mergeCell ref="C7:C8"/>
    <mergeCell ref="A52:D52"/>
  </mergeCells>
  <pageMargins left="0.7" right="0.7" top="0.75" bottom="0.75" header="0.3" footer="0.3"/>
  <pageSetup paperSize="9" scale="40" orientation="portrait" horizontalDpi="4294967293"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abSelected="1" view="pageBreakPreview" zoomScale="75" zoomScaleNormal="75" zoomScaleSheetLayoutView="75" workbookViewId="0">
      <selection activeCell="O40" sqref="O40"/>
    </sheetView>
  </sheetViews>
  <sheetFormatPr defaultRowHeight="13.8"/>
  <cols>
    <col min="1" max="1" width="14.33203125" style="41" customWidth="1"/>
    <col min="2" max="2" width="4.109375" style="41" customWidth="1"/>
    <col min="3" max="8" width="9.109375" style="41"/>
    <col min="9" max="9" width="8.88671875" style="41" customWidth="1"/>
    <col min="10" max="10" width="12.33203125" style="41" customWidth="1"/>
    <col min="11" max="11" width="27.109375" style="41" customWidth="1"/>
    <col min="12" max="14" width="9.109375" style="41"/>
    <col min="15" max="15" width="20.44140625" style="41" customWidth="1"/>
    <col min="16" max="245" width="9.109375" style="41"/>
    <col min="246" max="246" width="10.88671875" style="41" customWidth="1"/>
    <col min="247" max="247" width="4.109375" style="41" customWidth="1"/>
    <col min="248" max="253" width="9.109375" style="41"/>
    <col min="254" max="254" width="8.88671875" style="41" customWidth="1"/>
    <col min="255" max="255" width="6.5546875" style="41" customWidth="1"/>
    <col min="256" max="256" width="4.33203125" style="41" customWidth="1"/>
    <col min="257" max="257" width="17.88671875" style="41" customWidth="1"/>
    <col min="258" max="258" width="3" style="41" customWidth="1"/>
    <col min="259" max="259" width="18.44140625" style="41" customWidth="1"/>
    <col min="260" max="260" width="14.33203125" style="41" bestFit="1" customWidth="1"/>
    <col min="261" max="501" width="9.109375" style="41"/>
    <col min="502" max="502" width="10.88671875" style="41" customWidth="1"/>
    <col min="503" max="503" width="4.109375" style="41" customWidth="1"/>
    <col min="504" max="509" width="9.109375" style="41"/>
    <col min="510" max="510" width="8.88671875" style="41" customWidth="1"/>
    <col min="511" max="511" width="6.5546875" style="41" customWidth="1"/>
    <col min="512" max="512" width="4.33203125" style="41" customWidth="1"/>
    <col min="513" max="513" width="17.88671875" style="41" customWidth="1"/>
    <col min="514" max="514" width="3" style="41" customWidth="1"/>
    <col min="515" max="515" width="18.44140625" style="41" customWidth="1"/>
    <col min="516" max="516" width="14.33203125" style="41" bestFit="1" customWidth="1"/>
    <col min="517" max="757" width="9.109375" style="41"/>
    <col min="758" max="758" width="10.88671875" style="41" customWidth="1"/>
    <col min="759" max="759" width="4.109375" style="41" customWidth="1"/>
    <col min="760" max="765" width="9.109375" style="41"/>
    <col min="766" max="766" width="8.88671875" style="41" customWidth="1"/>
    <col min="767" max="767" width="6.5546875" style="41" customWidth="1"/>
    <col min="768" max="768" width="4.33203125" style="41" customWidth="1"/>
    <col min="769" max="769" width="17.88671875" style="41" customWidth="1"/>
    <col min="770" max="770" width="3" style="41" customWidth="1"/>
    <col min="771" max="771" width="18.44140625" style="41" customWidth="1"/>
    <col min="772" max="772" width="14.33203125" style="41" bestFit="1" customWidth="1"/>
    <col min="773" max="1013" width="9.109375" style="41"/>
    <col min="1014" max="1014" width="10.88671875" style="41" customWidth="1"/>
    <col min="1015" max="1015" width="4.109375" style="41" customWidth="1"/>
    <col min="1016" max="1021" width="9.109375" style="41"/>
    <col min="1022" max="1022" width="8.88671875" style="41" customWidth="1"/>
    <col min="1023" max="1023" width="6.5546875" style="41" customWidth="1"/>
    <col min="1024" max="1024" width="4.33203125" style="41" customWidth="1"/>
    <col min="1025" max="1025" width="17.88671875" style="41" customWidth="1"/>
    <col min="1026" max="1026" width="3" style="41" customWidth="1"/>
    <col min="1027" max="1027" width="18.44140625" style="41" customWidth="1"/>
    <col min="1028" max="1028" width="14.33203125" style="41" bestFit="1" customWidth="1"/>
    <col min="1029" max="1269" width="9.109375" style="41"/>
    <col min="1270" max="1270" width="10.88671875" style="41" customWidth="1"/>
    <col min="1271" max="1271" width="4.109375" style="41" customWidth="1"/>
    <col min="1272" max="1277" width="9.109375" style="41"/>
    <col min="1278" max="1278" width="8.88671875" style="41" customWidth="1"/>
    <col min="1279" max="1279" width="6.5546875" style="41" customWidth="1"/>
    <col min="1280" max="1280" width="4.33203125" style="41" customWidth="1"/>
    <col min="1281" max="1281" width="17.88671875" style="41" customWidth="1"/>
    <col min="1282" max="1282" width="3" style="41" customWidth="1"/>
    <col min="1283" max="1283" width="18.44140625" style="41" customWidth="1"/>
    <col min="1284" max="1284" width="14.33203125" style="41" bestFit="1" customWidth="1"/>
    <col min="1285" max="1525" width="9.109375" style="41"/>
    <col min="1526" max="1526" width="10.88671875" style="41" customWidth="1"/>
    <col min="1527" max="1527" width="4.109375" style="41" customWidth="1"/>
    <col min="1528" max="1533" width="9.109375" style="41"/>
    <col min="1534" max="1534" width="8.88671875" style="41" customWidth="1"/>
    <col min="1535" max="1535" width="6.5546875" style="41" customWidth="1"/>
    <col min="1536" max="1536" width="4.33203125" style="41" customWidth="1"/>
    <col min="1537" max="1537" width="17.88671875" style="41" customWidth="1"/>
    <col min="1538" max="1538" width="3" style="41" customWidth="1"/>
    <col min="1539" max="1539" width="18.44140625" style="41" customWidth="1"/>
    <col min="1540" max="1540" width="14.33203125" style="41" bestFit="1" customWidth="1"/>
    <col min="1541" max="1781" width="9.109375" style="41"/>
    <col min="1782" max="1782" width="10.88671875" style="41" customWidth="1"/>
    <col min="1783" max="1783" width="4.109375" style="41" customWidth="1"/>
    <col min="1784" max="1789" width="9.109375" style="41"/>
    <col min="1790" max="1790" width="8.88671875" style="41" customWidth="1"/>
    <col min="1791" max="1791" width="6.5546875" style="41" customWidth="1"/>
    <col min="1792" max="1792" width="4.33203125" style="41" customWidth="1"/>
    <col min="1793" max="1793" width="17.88671875" style="41" customWidth="1"/>
    <col min="1794" max="1794" width="3" style="41" customWidth="1"/>
    <col min="1795" max="1795" width="18.44140625" style="41" customWidth="1"/>
    <col min="1796" max="1796" width="14.33203125" style="41" bestFit="1" customWidth="1"/>
    <col min="1797" max="2037" width="9.109375" style="41"/>
    <col min="2038" max="2038" width="10.88671875" style="41" customWidth="1"/>
    <col min="2039" max="2039" width="4.109375" style="41" customWidth="1"/>
    <col min="2040" max="2045" width="9.109375" style="41"/>
    <col min="2046" max="2046" width="8.88671875" style="41" customWidth="1"/>
    <col min="2047" max="2047" width="6.5546875" style="41" customWidth="1"/>
    <col min="2048" max="2048" width="4.33203125" style="41" customWidth="1"/>
    <col min="2049" max="2049" width="17.88671875" style="41" customWidth="1"/>
    <col min="2050" max="2050" width="3" style="41" customWidth="1"/>
    <col min="2051" max="2051" width="18.44140625" style="41" customWidth="1"/>
    <col min="2052" max="2052" width="14.33203125" style="41" bestFit="1" customWidth="1"/>
    <col min="2053" max="2293" width="9.109375" style="41"/>
    <col min="2294" max="2294" width="10.88671875" style="41" customWidth="1"/>
    <col min="2295" max="2295" width="4.109375" style="41" customWidth="1"/>
    <col min="2296" max="2301" width="9.109375" style="41"/>
    <col min="2302" max="2302" width="8.88671875" style="41" customWidth="1"/>
    <col min="2303" max="2303" width="6.5546875" style="41" customWidth="1"/>
    <col min="2304" max="2304" width="4.33203125" style="41" customWidth="1"/>
    <col min="2305" max="2305" width="17.88671875" style="41" customWidth="1"/>
    <col min="2306" max="2306" width="3" style="41" customWidth="1"/>
    <col min="2307" max="2307" width="18.44140625" style="41" customWidth="1"/>
    <col min="2308" max="2308" width="14.33203125" style="41" bestFit="1" customWidth="1"/>
    <col min="2309" max="2549" width="9.109375" style="41"/>
    <col min="2550" max="2550" width="10.88671875" style="41" customWidth="1"/>
    <col min="2551" max="2551" width="4.109375" style="41" customWidth="1"/>
    <col min="2552" max="2557" width="9.109375" style="41"/>
    <col min="2558" max="2558" width="8.88671875" style="41" customWidth="1"/>
    <col min="2559" max="2559" width="6.5546875" style="41" customWidth="1"/>
    <col min="2560" max="2560" width="4.33203125" style="41" customWidth="1"/>
    <col min="2561" max="2561" width="17.88671875" style="41" customWidth="1"/>
    <col min="2562" max="2562" width="3" style="41" customWidth="1"/>
    <col min="2563" max="2563" width="18.44140625" style="41" customWidth="1"/>
    <col min="2564" max="2564" width="14.33203125" style="41" bestFit="1" customWidth="1"/>
    <col min="2565" max="2805" width="9.109375" style="41"/>
    <col min="2806" max="2806" width="10.88671875" style="41" customWidth="1"/>
    <col min="2807" max="2807" width="4.109375" style="41" customWidth="1"/>
    <col min="2808" max="2813" width="9.109375" style="41"/>
    <col min="2814" max="2814" width="8.88671875" style="41" customWidth="1"/>
    <col min="2815" max="2815" width="6.5546875" style="41" customWidth="1"/>
    <col min="2816" max="2816" width="4.33203125" style="41" customWidth="1"/>
    <col min="2817" max="2817" width="17.88671875" style="41" customWidth="1"/>
    <col min="2818" max="2818" width="3" style="41" customWidth="1"/>
    <col min="2819" max="2819" width="18.44140625" style="41" customWidth="1"/>
    <col min="2820" max="2820" width="14.33203125" style="41" bestFit="1" customWidth="1"/>
    <col min="2821" max="3061" width="9.109375" style="41"/>
    <col min="3062" max="3062" width="10.88671875" style="41" customWidth="1"/>
    <col min="3063" max="3063" width="4.109375" style="41" customWidth="1"/>
    <col min="3064" max="3069" width="9.109375" style="41"/>
    <col min="3070" max="3070" width="8.88671875" style="41" customWidth="1"/>
    <col min="3071" max="3071" width="6.5546875" style="41" customWidth="1"/>
    <col min="3072" max="3072" width="4.33203125" style="41" customWidth="1"/>
    <col min="3073" max="3073" width="17.88671875" style="41" customWidth="1"/>
    <col min="3074" max="3074" width="3" style="41" customWidth="1"/>
    <col min="3075" max="3075" width="18.44140625" style="41" customWidth="1"/>
    <col min="3076" max="3076" width="14.33203125" style="41" bestFit="1" customWidth="1"/>
    <col min="3077" max="3317" width="9.109375" style="41"/>
    <col min="3318" max="3318" width="10.88671875" style="41" customWidth="1"/>
    <col min="3319" max="3319" width="4.109375" style="41" customWidth="1"/>
    <col min="3320" max="3325" width="9.109375" style="41"/>
    <col min="3326" max="3326" width="8.88671875" style="41" customWidth="1"/>
    <col min="3327" max="3327" width="6.5546875" style="41" customWidth="1"/>
    <col min="3328" max="3328" width="4.33203125" style="41" customWidth="1"/>
    <col min="3329" max="3329" width="17.88671875" style="41" customWidth="1"/>
    <col min="3330" max="3330" width="3" style="41" customWidth="1"/>
    <col min="3331" max="3331" width="18.44140625" style="41" customWidth="1"/>
    <col min="3332" max="3332" width="14.33203125" style="41" bestFit="1" customWidth="1"/>
    <col min="3333" max="3573" width="9.109375" style="41"/>
    <col min="3574" max="3574" width="10.88671875" style="41" customWidth="1"/>
    <col min="3575" max="3575" width="4.109375" style="41" customWidth="1"/>
    <col min="3576" max="3581" width="9.109375" style="41"/>
    <col min="3582" max="3582" width="8.88671875" style="41" customWidth="1"/>
    <col min="3583" max="3583" width="6.5546875" style="41" customWidth="1"/>
    <col min="3584" max="3584" width="4.33203125" style="41" customWidth="1"/>
    <col min="3585" max="3585" width="17.88671875" style="41" customWidth="1"/>
    <col min="3586" max="3586" width="3" style="41" customWidth="1"/>
    <col min="3587" max="3587" width="18.44140625" style="41" customWidth="1"/>
    <col min="3588" max="3588" width="14.33203125" style="41" bestFit="1" customWidth="1"/>
    <col min="3589" max="3829" width="9.109375" style="41"/>
    <col min="3830" max="3830" width="10.88671875" style="41" customWidth="1"/>
    <col min="3831" max="3831" width="4.109375" style="41" customWidth="1"/>
    <col min="3832" max="3837" width="9.109375" style="41"/>
    <col min="3838" max="3838" width="8.88671875" style="41" customWidth="1"/>
    <col min="3839" max="3839" width="6.5546875" style="41" customWidth="1"/>
    <col min="3840" max="3840" width="4.33203125" style="41" customWidth="1"/>
    <col min="3841" max="3841" width="17.88671875" style="41" customWidth="1"/>
    <col min="3842" max="3842" width="3" style="41" customWidth="1"/>
    <col min="3843" max="3843" width="18.44140625" style="41" customWidth="1"/>
    <col min="3844" max="3844" width="14.33203125" style="41" bestFit="1" customWidth="1"/>
    <col min="3845" max="4085" width="9.109375" style="41"/>
    <col min="4086" max="4086" width="10.88671875" style="41" customWidth="1"/>
    <col min="4087" max="4087" width="4.109375" style="41" customWidth="1"/>
    <col min="4088" max="4093" width="9.109375" style="41"/>
    <col min="4094" max="4094" width="8.88671875" style="41" customWidth="1"/>
    <col min="4095" max="4095" width="6.5546875" style="41" customWidth="1"/>
    <col min="4096" max="4096" width="4.33203125" style="41" customWidth="1"/>
    <col min="4097" max="4097" width="17.88671875" style="41" customWidth="1"/>
    <col min="4098" max="4098" width="3" style="41" customWidth="1"/>
    <col min="4099" max="4099" width="18.44140625" style="41" customWidth="1"/>
    <col min="4100" max="4100" width="14.33203125" style="41" bestFit="1" customWidth="1"/>
    <col min="4101" max="4341" width="9.109375" style="41"/>
    <col min="4342" max="4342" width="10.88671875" style="41" customWidth="1"/>
    <col min="4343" max="4343" width="4.109375" style="41" customWidth="1"/>
    <col min="4344" max="4349" width="9.109375" style="41"/>
    <col min="4350" max="4350" width="8.88671875" style="41" customWidth="1"/>
    <col min="4351" max="4351" width="6.5546875" style="41" customWidth="1"/>
    <col min="4352" max="4352" width="4.33203125" style="41" customWidth="1"/>
    <col min="4353" max="4353" width="17.88671875" style="41" customWidth="1"/>
    <col min="4354" max="4354" width="3" style="41" customWidth="1"/>
    <col min="4355" max="4355" width="18.44140625" style="41" customWidth="1"/>
    <col min="4356" max="4356" width="14.33203125" style="41" bestFit="1" customWidth="1"/>
    <col min="4357" max="4597" width="9.109375" style="41"/>
    <col min="4598" max="4598" width="10.88671875" style="41" customWidth="1"/>
    <col min="4599" max="4599" width="4.109375" style="41" customWidth="1"/>
    <col min="4600" max="4605" width="9.109375" style="41"/>
    <col min="4606" max="4606" width="8.88671875" style="41" customWidth="1"/>
    <col min="4607" max="4607" width="6.5546875" style="41" customWidth="1"/>
    <col min="4608" max="4608" width="4.33203125" style="41" customWidth="1"/>
    <col min="4609" max="4609" width="17.88671875" style="41" customWidth="1"/>
    <col min="4610" max="4610" width="3" style="41" customWidth="1"/>
    <col min="4611" max="4611" width="18.44140625" style="41" customWidth="1"/>
    <col min="4612" max="4612" width="14.33203125" style="41" bestFit="1" customWidth="1"/>
    <col min="4613" max="4853" width="9.109375" style="41"/>
    <col min="4854" max="4854" width="10.88671875" style="41" customWidth="1"/>
    <col min="4855" max="4855" width="4.109375" style="41" customWidth="1"/>
    <col min="4856" max="4861" width="9.109375" style="41"/>
    <col min="4862" max="4862" width="8.88671875" style="41" customWidth="1"/>
    <col min="4863" max="4863" width="6.5546875" style="41" customWidth="1"/>
    <col min="4864" max="4864" width="4.33203125" style="41" customWidth="1"/>
    <col min="4865" max="4865" width="17.88671875" style="41" customWidth="1"/>
    <col min="4866" max="4866" width="3" style="41" customWidth="1"/>
    <col min="4867" max="4867" width="18.44140625" style="41" customWidth="1"/>
    <col min="4868" max="4868" width="14.33203125" style="41" bestFit="1" customWidth="1"/>
    <col min="4869" max="5109" width="9.109375" style="41"/>
    <col min="5110" max="5110" width="10.88671875" style="41" customWidth="1"/>
    <col min="5111" max="5111" width="4.109375" style="41" customWidth="1"/>
    <col min="5112" max="5117" width="9.109375" style="41"/>
    <col min="5118" max="5118" width="8.88671875" style="41" customWidth="1"/>
    <col min="5119" max="5119" width="6.5546875" style="41" customWidth="1"/>
    <col min="5120" max="5120" width="4.33203125" style="41" customWidth="1"/>
    <col min="5121" max="5121" width="17.88671875" style="41" customWidth="1"/>
    <col min="5122" max="5122" width="3" style="41" customWidth="1"/>
    <col min="5123" max="5123" width="18.44140625" style="41" customWidth="1"/>
    <col min="5124" max="5124" width="14.33203125" style="41" bestFit="1" customWidth="1"/>
    <col min="5125" max="5365" width="9.109375" style="41"/>
    <col min="5366" max="5366" width="10.88671875" style="41" customWidth="1"/>
    <col min="5367" max="5367" width="4.109375" style="41" customWidth="1"/>
    <col min="5368" max="5373" width="9.109375" style="41"/>
    <col min="5374" max="5374" width="8.88671875" style="41" customWidth="1"/>
    <col min="5375" max="5375" width="6.5546875" style="41" customWidth="1"/>
    <col min="5376" max="5376" width="4.33203125" style="41" customWidth="1"/>
    <col min="5377" max="5377" width="17.88671875" style="41" customWidth="1"/>
    <col min="5378" max="5378" width="3" style="41" customWidth="1"/>
    <col min="5379" max="5379" width="18.44140625" style="41" customWidth="1"/>
    <col min="5380" max="5380" width="14.33203125" style="41" bestFit="1" customWidth="1"/>
    <col min="5381" max="5621" width="9.109375" style="41"/>
    <col min="5622" max="5622" width="10.88671875" style="41" customWidth="1"/>
    <col min="5623" max="5623" width="4.109375" style="41" customWidth="1"/>
    <col min="5624" max="5629" width="9.109375" style="41"/>
    <col min="5630" max="5630" width="8.88671875" style="41" customWidth="1"/>
    <col min="5631" max="5631" width="6.5546875" style="41" customWidth="1"/>
    <col min="5632" max="5632" width="4.33203125" style="41" customWidth="1"/>
    <col min="5633" max="5633" width="17.88671875" style="41" customWidth="1"/>
    <col min="5634" max="5634" width="3" style="41" customWidth="1"/>
    <col min="5635" max="5635" width="18.44140625" style="41" customWidth="1"/>
    <col min="5636" max="5636" width="14.33203125" style="41" bestFit="1" customWidth="1"/>
    <col min="5637" max="5877" width="9.109375" style="41"/>
    <col min="5878" max="5878" width="10.88671875" style="41" customWidth="1"/>
    <col min="5879" max="5879" width="4.109375" style="41" customWidth="1"/>
    <col min="5880" max="5885" width="9.109375" style="41"/>
    <col min="5886" max="5886" width="8.88671875" style="41" customWidth="1"/>
    <col min="5887" max="5887" width="6.5546875" style="41" customWidth="1"/>
    <col min="5888" max="5888" width="4.33203125" style="41" customWidth="1"/>
    <col min="5889" max="5889" width="17.88671875" style="41" customWidth="1"/>
    <col min="5890" max="5890" width="3" style="41" customWidth="1"/>
    <col min="5891" max="5891" width="18.44140625" style="41" customWidth="1"/>
    <col min="5892" max="5892" width="14.33203125" style="41" bestFit="1" customWidth="1"/>
    <col min="5893" max="6133" width="9.109375" style="41"/>
    <col min="6134" max="6134" width="10.88671875" style="41" customWidth="1"/>
    <col min="6135" max="6135" width="4.109375" style="41" customWidth="1"/>
    <col min="6136" max="6141" width="9.109375" style="41"/>
    <col min="6142" max="6142" width="8.88671875" style="41" customWidth="1"/>
    <col min="6143" max="6143" width="6.5546875" style="41" customWidth="1"/>
    <col min="6144" max="6144" width="4.33203125" style="41" customWidth="1"/>
    <col min="6145" max="6145" width="17.88671875" style="41" customWidth="1"/>
    <col min="6146" max="6146" width="3" style="41" customWidth="1"/>
    <col min="6147" max="6147" width="18.44140625" style="41" customWidth="1"/>
    <col min="6148" max="6148" width="14.33203125" style="41" bestFit="1" customWidth="1"/>
    <col min="6149" max="6389" width="9.109375" style="41"/>
    <col min="6390" max="6390" width="10.88671875" style="41" customWidth="1"/>
    <col min="6391" max="6391" width="4.109375" style="41" customWidth="1"/>
    <col min="6392" max="6397" width="9.109375" style="41"/>
    <col min="6398" max="6398" width="8.88671875" style="41" customWidth="1"/>
    <col min="6399" max="6399" width="6.5546875" style="41" customWidth="1"/>
    <col min="6400" max="6400" width="4.33203125" style="41" customWidth="1"/>
    <col min="6401" max="6401" width="17.88671875" style="41" customWidth="1"/>
    <col min="6402" max="6402" width="3" style="41" customWidth="1"/>
    <col min="6403" max="6403" width="18.44140625" style="41" customWidth="1"/>
    <col min="6404" max="6404" width="14.33203125" style="41" bestFit="1" customWidth="1"/>
    <col min="6405" max="6645" width="9.109375" style="41"/>
    <col min="6646" max="6646" width="10.88671875" style="41" customWidth="1"/>
    <col min="6647" max="6647" width="4.109375" style="41" customWidth="1"/>
    <col min="6648" max="6653" width="9.109375" style="41"/>
    <col min="6654" max="6654" width="8.88671875" style="41" customWidth="1"/>
    <col min="6655" max="6655" width="6.5546875" style="41" customWidth="1"/>
    <col min="6656" max="6656" width="4.33203125" style="41" customWidth="1"/>
    <col min="6657" max="6657" width="17.88671875" style="41" customWidth="1"/>
    <col min="6658" max="6658" width="3" style="41" customWidth="1"/>
    <col min="6659" max="6659" width="18.44140625" style="41" customWidth="1"/>
    <col min="6660" max="6660" width="14.33203125" style="41" bestFit="1" customWidth="1"/>
    <col min="6661" max="6901" width="9.109375" style="41"/>
    <col min="6902" max="6902" width="10.88671875" style="41" customWidth="1"/>
    <col min="6903" max="6903" width="4.109375" style="41" customWidth="1"/>
    <col min="6904" max="6909" width="9.109375" style="41"/>
    <col min="6910" max="6910" width="8.88671875" style="41" customWidth="1"/>
    <col min="6911" max="6911" width="6.5546875" style="41" customWidth="1"/>
    <col min="6912" max="6912" width="4.33203125" style="41" customWidth="1"/>
    <col min="6913" max="6913" width="17.88671875" style="41" customWidth="1"/>
    <col min="6914" max="6914" width="3" style="41" customWidth="1"/>
    <col min="6915" max="6915" width="18.44140625" style="41" customWidth="1"/>
    <col min="6916" max="6916" width="14.33203125" style="41" bestFit="1" customWidth="1"/>
    <col min="6917" max="7157" width="9.109375" style="41"/>
    <col min="7158" max="7158" width="10.88671875" style="41" customWidth="1"/>
    <col min="7159" max="7159" width="4.109375" style="41" customWidth="1"/>
    <col min="7160" max="7165" width="9.109375" style="41"/>
    <col min="7166" max="7166" width="8.88671875" style="41" customWidth="1"/>
    <col min="7167" max="7167" width="6.5546875" style="41" customWidth="1"/>
    <col min="7168" max="7168" width="4.33203125" style="41" customWidth="1"/>
    <col min="7169" max="7169" width="17.88671875" style="41" customWidth="1"/>
    <col min="7170" max="7170" width="3" style="41" customWidth="1"/>
    <col min="7171" max="7171" width="18.44140625" style="41" customWidth="1"/>
    <col min="7172" max="7172" width="14.33203125" style="41" bestFit="1" customWidth="1"/>
    <col min="7173" max="7413" width="9.109375" style="41"/>
    <col min="7414" max="7414" width="10.88671875" style="41" customWidth="1"/>
    <col min="7415" max="7415" width="4.109375" style="41" customWidth="1"/>
    <col min="7416" max="7421" width="9.109375" style="41"/>
    <col min="7422" max="7422" width="8.88671875" style="41" customWidth="1"/>
    <col min="7423" max="7423" width="6.5546875" style="41" customWidth="1"/>
    <col min="7424" max="7424" width="4.33203125" style="41" customWidth="1"/>
    <col min="7425" max="7425" width="17.88671875" style="41" customWidth="1"/>
    <col min="7426" max="7426" width="3" style="41" customWidth="1"/>
    <col min="7427" max="7427" width="18.44140625" style="41" customWidth="1"/>
    <col min="7428" max="7428" width="14.33203125" style="41" bestFit="1" customWidth="1"/>
    <col min="7429" max="7669" width="9.109375" style="41"/>
    <col min="7670" max="7670" width="10.88671875" style="41" customWidth="1"/>
    <col min="7671" max="7671" width="4.109375" style="41" customWidth="1"/>
    <col min="7672" max="7677" width="9.109375" style="41"/>
    <col min="7678" max="7678" width="8.88671875" style="41" customWidth="1"/>
    <col min="7679" max="7679" width="6.5546875" style="41" customWidth="1"/>
    <col min="7680" max="7680" width="4.33203125" style="41" customWidth="1"/>
    <col min="7681" max="7681" width="17.88671875" style="41" customWidth="1"/>
    <col min="7682" max="7682" width="3" style="41" customWidth="1"/>
    <col min="7683" max="7683" width="18.44140625" style="41" customWidth="1"/>
    <col min="7684" max="7684" width="14.33203125" style="41" bestFit="1" customWidth="1"/>
    <col min="7685" max="7925" width="9.109375" style="41"/>
    <col min="7926" max="7926" width="10.88671875" style="41" customWidth="1"/>
    <col min="7927" max="7927" width="4.109375" style="41" customWidth="1"/>
    <col min="7928" max="7933" width="9.109375" style="41"/>
    <col min="7934" max="7934" width="8.88671875" style="41" customWidth="1"/>
    <col min="7935" max="7935" width="6.5546875" style="41" customWidth="1"/>
    <col min="7936" max="7936" width="4.33203125" style="41" customWidth="1"/>
    <col min="7937" max="7937" width="17.88671875" style="41" customWidth="1"/>
    <col min="7938" max="7938" width="3" style="41" customWidth="1"/>
    <col min="7939" max="7939" width="18.44140625" style="41" customWidth="1"/>
    <col min="7940" max="7940" width="14.33203125" style="41" bestFit="1" customWidth="1"/>
    <col min="7941" max="8181" width="9.109375" style="41"/>
    <col min="8182" max="8182" width="10.88671875" style="41" customWidth="1"/>
    <col min="8183" max="8183" width="4.109375" style="41" customWidth="1"/>
    <col min="8184" max="8189" width="9.109375" style="41"/>
    <col min="8190" max="8190" width="8.88671875" style="41" customWidth="1"/>
    <col min="8191" max="8191" width="6.5546875" style="41" customWidth="1"/>
    <col min="8192" max="8192" width="4.33203125" style="41" customWidth="1"/>
    <col min="8193" max="8193" width="17.88671875" style="41" customWidth="1"/>
    <col min="8194" max="8194" width="3" style="41" customWidth="1"/>
    <col min="8195" max="8195" width="18.44140625" style="41" customWidth="1"/>
    <col min="8196" max="8196" width="14.33203125" style="41" bestFit="1" customWidth="1"/>
    <col min="8197" max="8437" width="9.109375" style="41"/>
    <col min="8438" max="8438" width="10.88671875" style="41" customWidth="1"/>
    <col min="8439" max="8439" width="4.109375" style="41" customWidth="1"/>
    <col min="8440" max="8445" width="9.109375" style="41"/>
    <col min="8446" max="8446" width="8.88671875" style="41" customWidth="1"/>
    <col min="8447" max="8447" width="6.5546875" style="41" customWidth="1"/>
    <col min="8448" max="8448" width="4.33203125" style="41" customWidth="1"/>
    <col min="8449" max="8449" width="17.88671875" style="41" customWidth="1"/>
    <col min="8450" max="8450" width="3" style="41" customWidth="1"/>
    <col min="8451" max="8451" width="18.44140625" style="41" customWidth="1"/>
    <col min="8452" max="8452" width="14.33203125" style="41" bestFit="1" customWidth="1"/>
    <col min="8453" max="8693" width="9.109375" style="41"/>
    <col min="8694" max="8694" width="10.88671875" style="41" customWidth="1"/>
    <col min="8695" max="8695" width="4.109375" style="41" customWidth="1"/>
    <col min="8696" max="8701" width="9.109375" style="41"/>
    <col min="8702" max="8702" width="8.88671875" style="41" customWidth="1"/>
    <col min="8703" max="8703" width="6.5546875" style="41" customWidth="1"/>
    <col min="8704" max="8704" width="4.33203125" style="41" customWidth="1"/>
    <col min="8705" max="8705" width="17.88671875" style="41" customWidth="1"/>
    <col min="8706" max="8706" width="3" style="41" customWidth="1"/>
    <col min="8707" max="8707" width="18.44140625" style="41" customWidth="1"/>
    <col min="8708" max="8708" width="14.33203125" style="41" bestFit="1" customWidth="1"/>
    <col min="8709" max="8949" width="9.109375" style="41"/>
    <col min="8950" max="8950" width="10.88671875" style="41" customWidth="1"/>
    <col min="8951" max="8951" width="4.109375" style="41" customWidth="1"/>
    <col min="8952" max="8957" width="9.109375" style="41"/>
    <col min="8958" max="8958" width="8.88671875" style="41" customWidth="1"/>
    <col min="8959" max="8959" width="6.5546875" style="41" customWidth="1"/>
    <col min="8960" max="8960" width="4.33203125" style="41" customWidth="1"/>
    <col min="8961" max="8961" width="17.88671875" style="41" customWidth="1"/>
    <col min="8962" max="8962" width="3" style="41" customWidth="1"/>
    <col min="8963" max="8963" width="18.44140625" style="41" customWidth="1"/>
    <col min="8964" max="8964" width="14.33203125" style="41" bestFit="1" customWidth="1"/>
    <col min="8965" max="9205" width="9.109375" style="41"/>
    <col min="9206" max="9206" width="10.88671875" style="41" customWidth="1"/>
    <col min="9207" max="9207" width="4.109375" style="41" customWidth="1"/>
    <col min="9208" max="9213" width="9.109375" style="41"/>
    <col min="9214" max="9214" width="8.88671875" style="41" customWidth="1"/>
    <col min="9215" max="9215" width="6.5546875" style="41" customWidth="1"/>
    <col min="9216" max="9216" width="4.33203125" style="41" customWidth="1"/>
    <col min="9217" max="9217" width="17.88671875" style="41" customWidth="1"/>
    <col min="9218" max="9218" width="3" style="41" customWidth="1"/>
    <col min="9219" max="9219" width="18.44140625" style="41" customWidth="1"/>
    <col min="9220" max="9220" width="14.33203125" style="41" bestFit="1" customWidth="1"/>
    <col min="9221" max="9461" width="9.109375" style="41"/>
    <col min="9462" max="9462" width="10.88671875" style="41" customWidth="1"/>
    <col min="9463" max="9463" width="4.109375" style="41" customWidth="1"/>
    <col min="9464" max="9469" width="9.109375" style="41"/>
    <col min="9470" max="9470" width="8.88671875" style="41" customWidth="1"/>
    <col min="9471" max="9471" width="6.5546875" style="41" customWidth="1"/>
    <col min="9472" max="9472" width="4.33203125" style="41" customWidth="1"/>
    <col min="9473" max="9473" width="17.88671875" style="41" customWidth="1"/>
    <col min="9474" max="9474" width="3" style="41" customWidth="1"/>
    <col min="9475" max="9475" width="18.44140625" style="41" customWidth="1"/>
    <col min="9476" max="9476" width="14.33203125" style="41" bestFit="1" customWidth="1"/>
    <col min="9477" max="9717" width="9.109375" style="41"/>
    <col min="9718" max="9718" width="10.88671875" style="41" customWidth="1"/>
    <col min="9719" max="9719" width="4.109375" style="41" customWidth="1"/>
    <col min="9720" max="9725" width="9.109375" style="41"/>
    <col min="9726" max="9726" width="8.88671875" style="41" customWidth="1"/>
    <col min="9727" max="9727" width="6.5546875" style="41" customWidth="1"/>
    <col min="9728" max="9728" width="4.33203125" style="41" customWidth="1"/>
    <col min="9729" max="9729" width="17.88671875" style="41" customWidth="1"/>
    <col min="9730" max="9730" width="3" style="41" customWidth="1"/>
    <col min="9731" max="9731" width="18.44140625" style="41" customWidth="1"/>
    <col min="9732" max="9732" width="14.33203125" style="41" bestFit="1" customWidth="1"/>
    <col min="9733" max="9973" width="9.109375" style="41"/>
    <col min="9974" max="9974" width="10.88671875" style="41" customWidth="1"/>
    <col min="9975" max="9975" width="4.109375" style="41" customWidth="1"/>
    <col min="9976" max="9981" width="9.109375" style="41"/>
    <col min="9982" max="9982" width="8.88671875" style="41" customWidth="1"/>
    <col min="9983" max="9983" width="6.5546875" style="41" customWidth="1"/>
    <col min="9984" max="9984" width="4.33203125" style="41" customWidth="1"/>
    <col min="9985" max="9985" width="17.88671875" style="41" customWidth="1"/>
    <col min="9986" max="9986" width="3" style="41" customWidth="1"/>
    <col min="9987" max="9987" width="18.44140625" style="41" customWidth="1"/>
    <col min="9988" max="9988" width="14.33203125" style="41" bestFit="1" customWidth="1"/>
    <col min="9989" max="10229" width="9.109375" style="41"/>
    <col min="10230" max="10230" width="10.88671875" style="41" customWidth="1"/>
    <col min="10231" max="10231" width="4.109375" style="41" customWidth="1"/>
    <col min="10232" max="10237" width="9.109375" style="41"/>
    <col min="10238" max="10238" width="8.88671875" style="41" customWidth="1"/>
    <col min="10239" max="10239" width="6.5546875" style="41" customWidth="1"/>
    <col min="10240" max="10240" width="4.33203125" style="41" customWidth="1"/>
    <col min="10241" max="10241" width="17.88671875" style="41" customWidth="1"/>
    <col min="10242" max="10242" width="3" style="41" customWidth="1"/>
    <col min="10243" max="10243" width="18.44140625" style="41" customWidth="1"/>
    <col min="10244" max="10244" width="14.33203125" style="41" bestFit="1" customWidth="1"/>
    <col min="10245" max="10485" width="9.109375" style="41"/>
    <col min="10486" max="10486" width="10.88671875" style="41" customWidth="1"/>
    <col min="10487" max="10487" width="4.109375" style="41" customWidth="1"/>
    <col min="10488" max="10493" width="9.109375" style="41"/>
    <col min="10494" max="10494" width="8.88671875" style="41" customWidth="1"/>
    <col min="10495" max="10495" width="6.5546875" style="41" customWidth="1"/>
    <col min="10496" max="10496" width="4.33203125" style="41" customWidth="1"/>
    <col min="10497" max="10497" width="17.88671875" style="41" customWidth="1"/>
    <col min="10498" max="10498" width="3" style="41" customWidth="1"/>
    <col min="10499" max="10499" width="18.44140625" style="41" customWidth="1"/>
    <col min="10500" max="10500" width="14.33203125" style="41" bestFit="1" customWidth="1"/>
    <col min="10501" max="10741" width="9.109375" style="41"/>
    <col min="10742" max="10742" width="10.88671875" style="41" customWidth="1"/>
    <col min="10743" max="10743" width="4.109375" style="41" customWidth="1"/>
    <col min="10744" max="10749" width="9.109375" style="41"/>
    <col min="10750" max="10750" width="8.88671875" style="41" customWidth="1"/>
    <col min="10751" max="10751" width="6.5546875" style="41" customWidth="1"/>
    <col min="10752" max="10752" width="4.33203125" style="41" customWidth="1"/>
    <col min="10753" max="10753" width="17.88671875" style="41" customWidth="1"/>
    <col min="10754" max="10754" width="3" style="41" customWidth="1"/>
    <col min="10755" max="10755" width="18.44140625" style="41" customWidth="1"/>
    <col min="10756" max="10756" width="14.33203125" style="41" bestFit="1" customWidth="1"/>
    <col min="10757" max="10997" width="9.109375" style="41"/>
    <col min="10998" max="10998" width="10.88671875" style="41" customWidth="1"/>
    <col min="10999" max="10999" width="4.109375" style="41" customWidth="1"/>
    <col min="11000" max="11005" width="9.109375" style="41"/>
    <col min="11006" max="11006" width="8.88671875" style="41" customWidth="1"/>
    <col min="11007" max="11007" width="6.5546875" style="41" customWidth="1"/>
    <col min="11008" max="11008" width="4.33203125" style="41" customWidth="1"/>
    <col min="11009" max="11009" width="17.88671875" style="41" customWidth="1"/>
    <col min="11010" max="11010" width="3" style="41" customWidth="1"/>
    <col min="11011" max="11011" width="18.44140625" style="41" customWidth="1"/>
    <col min="11012" max="11012" width="14.33203125" style="41" bestFit="1" customWidth="1"/>
    <col min="11013" max="11253" width="9.109375" style="41"/>
    <col min="11254" max="11254" width="10.88671875" style="41" customWidth="1"/>
    <col min="11255" max="11255" width="4.109375" style="41" customWidth="1"/>
    <col min="11256" max="11261" width="9.109375" style="41"/>
    <col min="11262" max="11262" width="8.88671875" style="41" customWidth="1"/>
    <col min="11263" max="11263" width="6.5546875" style="41" customWidth="1"/>
    <col min="11264" max="11264" width="4.33203125" style="41" customWidth="1"/>
    <col min="11265" max="11265" width="17.88671875" style="41" customWidth="1"/>
    <col min="11266" max="11266" width="3" style="41" customWidth="1"/>
    <col min="11267" max="11267" width="18.44140625" style="41" customWidth="1"/>
    <col min="11268" max="11268" width="14.33203125" style="41" bestFit="1" customWidth="1"/>
    <col min="11269" max="11509" width="9.109375" style="41"/>
    <col min="11510" max="11510" width="10.88671875" style="41" customWidth="1"/>
    <col min="11511" max="11511" width="4.109375" style="41" customWidth="1"/>
    <col min="11512" max="11517" width="9.109375" style="41"/>
    <col min="11518" max="11518" width="8.88671875" style="41" customWidth="1"/>
    <col min="11519" max="11519" width="6.5546875" style="41" customWidth="1"/>
    <col min="11520" max="11520" width="4.33203125" style="41" customWidth="1"/>
    <col min="11521" max="11521" width="17.88671875" style="41" customWidth="1"/>
    <col min="11522" max="11522" width="3" style="41" customWidth="1"/>
    <col min="11523" max="11523" width="18.44140625" style="41" customWidth="1"/>
    <col min="11524" max="11524" width="14.33203125" style="41" bestFit="1" customWidth="1"/>
    <col min="11525" max="11765" width="9.109375" style="41"/>
    <col min="11766" max="11766" width="10.88671875" style="41" customWidth="1"/>
    <col min="11767" max="11767" width="4.109375" style="41" customWidth="1"/>
    <col min="11768" max="11773" width="9.109375" style="41"/>
    <col min="11774" max="11774" width="8.88671875" style="41" customWidth="1"/>
    <col min="11775" max="11775" width="6.5546875" style="41" customWidth="1"/>
    <col min="11776" max="11776" width="4.33203125" style="41" customWidth="1"/>
    <col min="11777" max="11777" width="17.88671875" style="41" customWidth="1"/>
    <col min="11778" max="11778" width="3" style="41" customWidth="1"/>
    <col min="11779" max="11779" width="18.44140625" style="41" customWidth="1"/>
    <col min="11780" max="11780" width="14.33203125" style="41" bestFit="1" customWidth="1"/>
    <col min="11781" max="12021" width="9.109375" style="41"/>
    <col min="12022" max="12022" width="10.88671875" style="41" customWidth="1"/>
    <col min="12023" max="12023" width="4.109375" style="41" customWidth="1"/>
    <col min="12024" max="12029" width="9.109375" style="41"/>
    <col min="12030" max="12030" width="8.88671875" style="41" customWidth="1"/>
    <col min="12031" max="12031" width="6.5546875" style="41" customWidth="1"/>
    <col min="12032" max="12032" width="4.33203125" style="41" customWidth="1"/>
    <col min="12033" max="12033" width="17.88671875" style="41" customWidth="1"/>
    <col min="12034" max="12034" width="3" style="41" customWidth="1"/>
    <col min="12035" max="12035" width="18.44140625" style="41" customWidth="1"/>
    <col min="12036" max="12036" width="14.33203125" style="41" bestFit="1" customWidth="1"/>
    <col min="12037" max="12277" width="9.109375" style="41"/>
    <col min="12278" max="12278" width="10.88671875" style="41" customWidth="1"/>
    <col min="12279" max="12279" width="4.109375" style="41" customWidth="1"/>
    <col min="12280" max="12285" width="9.109375" style="41"/>
    <col min="12286" max="12286" width="8.88671875" style="41" customWidth="1"/>
    <col min="12287" max="12287" width="6.5546875" style="41" customWidth="1"/>
    <col min="12288" max="12288" width="4.33203125" style="41" customWidth="1"/>
    <col min="12289" max="12289" width="17.88671875" style="41" customWidth="1"/>
    <col min="12290" max="12290" width="3" style="41" customWidth="1"/>
    <col min="12291" max="12291" width="18.44140625" style="41" customWidth="1"/>
    <col min="12292" max="12292" width="14.33203125" style="41" bestFit="1" customWidth="1"/>
    <col min="12293" max="12533" width="9.109375" style="41"/>
    <col min="12534" max="12534" width="10.88671875" style="41" customWidth="1"/>
    <col min="12535" max="12535" width="4.109375" style="41" customWidth="1"/>
    <col min="12536" max="12541" width="9.109375" style="41"/>
    <col min="12542" max="12542" width="8.88671875" style="41" customWidth="1"/>
    <col min="12543" max="12543" width="6.5546875" style="41" customWidth="1"/>
    <col min="12544" max="12544" width="4.33203125" style="41" customWidth="1"/>
    <col min="12545" max="12545" width="17.88671875" style="41" customWidth="1"/>
    <col min="12546" max="12546" width="3" style="41" customWidth="1"/>
    <col min="12547" max="12547" width="18.44140625" style="41" customWidth="1"/>
    <col min="12548" max="12548" width="14.33203125" style="41" bestFit="1" customWidth="1"/>
    <col min="12549" max="12789" width="9.109375" style="41"/>
    <col min="12790" max="12790" width="10.88671875" style="41" customWidth="1"/>
    <col min="12791" max="12791" width="4.109375" style="41" customWidth="1"/>
    <col min="12792" max="12797" width="9.109375" style="41"/>
    <col min="12798" max="12798" width="8.88671875" style="41" customWidth="1"/>
    <col min="12799" max="12799" width="6.5546875" style="41" customWidth="1"/>
    <col min="12800" max="12800" width="4.33203125" style="41" customWidth="1"/>
    <col min="12801" max="12801" width="17.88671875" style="41" customWidth="1"/>
    <col min="12802" max="12802" width="3" style="41" customWidth="1"/>
    <col min="12803" max="12803" width="18.44140625" style="41" customWidth="1"/>
    <col min="12804" max="12804" width="14.33203125" style="41" bestFit="1" customWidth="1"/>
    <col min="12805" max="13045" width="9.109375" style="41"/>
    <col min="13046" max="13046" width="10.88671875" style="41" customWidth="1"/>
    <col min="13047" max="13047" width="4.109375" style="41" customWidth="1"/>
    <col min="13048" max="13053" width="9.109375" style="41"/>
    <col min="13054" max="13054" width="8.88671875" style="41" customWidth="1"/>
    <col min="13055" max="13055" width="6.5546875" style="41" customWidth="1"/>
    <col min="13056" max="13056" width="4.33203125" style="41" customWidth="1"/>
    <col min="13057" max="13057" width="17.88671875" style="41" customWidth="1"/>
    <col min="13058" max="13058" width="3" style="41" customWidth="1"/>
    <col min="13059" max="13059" width="18.44140625" style="41" customWidth="1"/>
    <col min="13060" max="13060" width="14.33203125" style="41" bestFit="1" customWidth="1"/>
    <col min="13061" max="13301" width="9.109375" style="41"/>
    <col min="13302" max="13302" width="10.88671875" style="41" customWidth="1"/>
    <col min="13303" max="13303" width="4.109375" style="41" customWidth="1"/>
    <col min="13304" max="13309" width="9.109375" style="41"/>
    <col min="13310" max="13310" width="8.88671875" style="41" customWidth="1"/>
    <col min="13311" max="13311" width="6.5546875" style="41" customWidth="1"/>
    <col min="13312" max="13312" width="4.33203125" style="41" customWidth="1"/>
    <col min="13313" max="13313" width="17.88671875" style="41" customWidth="1"/>
    <col min="13314" max="13314" width="3" style="41" customWidth="1"/>
    <col min="13315" max="13315" width="18.44140625" style="41" customWidth="1"/>
    <col min="13316" max="13316" width="14.33203125" style="41" bestFit="1" customWidth="1"/>
    <col min="13317" max="13557" width="9.109375" style="41"/>
    <col min="13558" max="13558" width="10.88671875" style="41" customWidth="1"/>
    <col min="13559" max="13559" width="4.109375" style="41" customWidth="1"/>
    <col min="13560" max="13565" width="9.109375" style="41"/>
    <col min="13566" max="13566" width="8.88671875" style="41" customWidth="1"/>
    <col min="13567" max="13567" width="6.5546875" style="41" customWidth="1"/>
    <col min="13568" max="13568" width="4.33203125" style="41" customWidth="1"/>
    <col min="13569" max="13569" width="17.88671875" style="41" customWidth="1"/>
    <col min="13570" max="13570" width="3" style="41" customWidth="1"/>
    <col min="13571" max="13571" width="18.44140625" style="41" customWidth="1"/>
    <col min="13572" max="13572" width="14.33203125" style="41" bestFit="1" customWidth="1"/>
    <col min="13573" max="13813" width="9.109375" style="41"/>
    <col min="13814" max="13814" width="10.88671875" style="41" customWidth="1"/>
    <col min="13815" max="13815" width="4.109375" style="41" customWidth="1"/>
    <col min="13816" max="13821" width="9.109375" style="41"/>
    <col min="13822" max="13822" width="8.88671875" style="41" customWidth="1"/>
    <col min="13823" max="13823" width="6.5546875" style="41" customWidth="1"/>
    <col min="13824" max="13824" width="4.33203125" style="41" customWidth="1"/>
    <col min="13825" max="13825" width="17.88671875" style="41" customWidth="1"/>
    <col min="13826" max="13826" width="3" style="41" customWidth="1"/>
    <col min="13827" max="13827" width="18.44140625" style="41" customWidth="1"/>
    <col min="13828" max="13828" width="14.33203125" style="41" bestFit="1" customWidth="1"/>
    <col min="13829" max="14069" width="9.109375" style="41"/>
    <col min="14070" max="14070" width="10.88671875" style="41" customWidth="1"/>
    <col min="14071" max="14071" width="4.109375" style="41" customWidth="1"/>
    <col min="14072" max="14077" width="9.109375" style="41"/>
    <col min="14078" max="14078" width="8.88671875" style="41" customWidth="1"/>
    <col min="14079" max="14079" width="6.5546875" style="41" customWidth="1"/>
    <col min="14080" max="14080" width="4.33203125" style="41" customWidth="1"/>
    <col min="14081" max="14081" width="17.88671875" style="41" customWidth="1"/>
    <col min="14082" max="14082" width="3" style="41" customWidth="1"/>
    <col min="14083" max="14083" width="18.44140625" style="41" customWidth="1"/>
    <col min="14084" max="14084" width="14.33203125" style="41" bestFit="1" customWidth="1"/>
    <col min="14085" max="14325" width="9.109375" style="41"/>
    <col min="14326" max="14326" width="10.88671875" style="41" customWidth="1"/>
    <col min="14327" max="14327" width="4.109375" style="41" customWidth="1"/>
    <col min="14328" max="14333" width="9.109375" style="41"/>
    <col min="14334" max="14334" width="8.88671875" style="41" customWidth="1"/>
    <col min="14335" max="14335" width="6.5546875" style="41" customWidth="1"/>
    <col min="14336" max="14336" width="4.33203125" style="41" customWidth="1"/>
    <col min="14337" max="14337" width="17.88671875" style="41" customWidth="1"/>
    <col min="14338" max="14338" width="3" style="41" customWidth="1"/>
    <col min="14339" max="14339" width="18.44140625" style="41" customWidth="1"/>
    <col min="14340" max="14340" width="14.33203125" style="41" bestFit="1" customWidth="1"/>
    <col min="14341" max="14581" width="9.109375" style="41"/>
    <col min="14582" max="14582" width="10.88671875" style="41" customWidth="1"/>
    <col min="14583" max="14583" width="4.109375" style="41" customWidth="1"/>
    <col min="14584" max="14589" width="9.109375" style="41"/>
    <col min="14590" max="14590" width="8.88671875" style="41" customWidth="1"/>
    <col min="14591" max="14591" width="6.5546875" style="41" customWidth="1"/>
    <col min="14592" max="14592" width="4.33203125" style="41" customWidth="1"/>
    <col min="14593" max="14593" width="17.88671875" style="41" customWidth="1"/>
    <col min="14594" max="14594" width="3" style="41" customWidth="1"/>
    <col min="14595" max="14595" width="18.44140625" style="41" customWidth="1"/>
    <col min="14596" max="14596" width="14.33203125" style="41" bestFit="1" customWidth="1"/>
    <col min="14597" max="14837" width="9.109375" style="41"/>
    <col min="14838" max="14838" width="10.88671875" style="41" customWidth="1"/>
    <col min="14839" max="14839" width="4.109375" style="41" customWidth="1"/>
    <col min="14840" max="14845" width="9.109375" style="41"/>
    <col min="14846" max="14846" width="8.88671875" style="41" customWidth="1"/>
    <col min="14847" max="14847" width="6.5546875" style="41" customWidth="1"/>
    <col min="14848" max="14848" width="4.33203125" style="41" customWidth="1"/>
    <col min="14849" max="14849" width="17.88671875" style="41" customWidth="1"/>
    <col min="14850" max="14850" width="3" style="41" customWidth="1"/>
    <col min="14851" max="14851" width="18.44140625" style="41" customWidth="1"/>
    <col min="14852" max="14852" width="14.33203125" style="41" bestFit="1" customWidth="1"/>
    <col min="14853" max="15093" width="9.109375" style="41"/>
    <col min="15094" max="15094" width="10.88671875" style="41" customWidth="1"/>
    <col min="15095" max="15095" width="4.109375" style="41" customWidth="1"/>
    <col min="15096" max="15101" width="9.109375" style="41"/>
    <col min="15102" max="15102" width="8.88671875" style="41" customWidth="1"/>
    <col min="15103" max="15103" width="6.5546875" style="41" customWidth="1"/>
    <col min="15104" max="15104" width="4.33203125" style="41" customWidth="1"/>
    <col min="15105" max="15105" width="17.88671875" style="41" customWidth="1"/>
    <col min="15106" max="15106" width="3" style="41" customWidth="1"/>
    <col min="15107" max="15107" width="18.44140625" style="41" customWidth="1"/>
    <col min="15108" max="15108" width="14.33203125" style="41" bestFit="1" customWidth="1"/>
    <col min="15109" max="15349" width="9.109375" style="41"/>
    <col min="15350" max="15350" width="10.88671875" style="41" customWidth="1"/>
    <col min="15351" max="15351" width="4.109375" style="41" customWidth="1"/>
    <col min="15352" max="15357" width="9.109375" style="41"/>
    <col min="15358" max="15358" width="8.88671875" style="41" customWidth="1"/>
    <col min="15359" max="15359" width="6.5546875" style="41" customWidth="1"/>
    <col min="15360" max="15360" width="4.33203125" style="41" customWidth="1"/>
    <col min="15361" max="15361" width="17.88671875" style="41" customWidth="1"/>
    <col min="15362" max="15362" width="3" style="41" customWidth="1"/>
    <col min="15363" max="15363" width="18.44140625" style="41" customWidth="1"/>
    <col min="15364" max="15364" width="14.33203125" style="41" bestFit="1" customWidth="1"/>
    <col min="15365" max="15605" width="9.109375" style="41"/>
    <col min="15606" max="15606" width="10.88671875" style="41" customWidth="1"/>
    <col min="15607" max="15607" width="4.109375" style="41" customWidth="1"/>
    <col min="15608" max="15613" width="9.109375" style="41"/>
    <col min="15614" max="15614" width="8.88671875" style="41" customWidth="1"/>
    <col min="15615" max="15615" width="6.5546875" style="41" customWidth="1"/>
    <col min="15616" max="15616" width="4.33203125" style="41" customWidth="1"/>
    <col min="15617" max="15617" width="17.88671875" style="41" customWidth="1"/>
    <col min="15618" max="15618" width="3" style="41" customWidth="1"/>
    <col min="15619" max="15619" width="18.44140625" style="41" customWidth="1"/>
    <col min="15620" max="15620" width="14.33203125" style="41" bestFit="1" customWidth="1"/>
    <col min="15621" max="15861" width="9.109375" style="41"/>
    <col min="15862" max="15862" width="10.88671875" style="41" customWidth="1"/>
    <col min="15863" max="15863" width="4.109375" style="41" customWidth="1"/>
    <col min="15864" max="15869" width="9.109375" style="41"/>
    <col min="15870" max="15870" width="8.88671875" style="41" customWidth="1"/>
    <col min="15871" max="15871" width="6.5546875" style="41" customWidth="1"/>
    <col min="15872" max="15872" width="4.33203125" style="41" customWidth="1"/>
    <col min="15873" max="15873" width="17.88671875" style="41" customWidth="1"/>
    <col min="15874" max="15874" width="3" style="41" customWidth="1"/>
    <col min="15875" max="15875" width="18.44140625" style="41" customWidth="1"/>
    <col min="15876" max="15876" width="14.33203125" style="41" bestFit="1" customWidth="1"/>
    <col min="15877" max="16117" width="9.109375" style="41"/>
    <col min="16118" max="16118" width="10.88671875" style="41" customWidth="1"/>
    <col min="16119" max="16119" width="4.109375" style="41" customWidth="1"/>
    <col min="16120" max="16125" width="9.109375" style="41"/>
    <col min="16126" max="16126" width="8.88671875" style="41" customWidth="1"/>
    <col min="16127" max="16127" width="6.5546875" style="41" customWidth="1"/>
    <col min="16128" max="16128" width="4.33203125" style="41" customWidth="1"/>
    <col min="16129" max="16129" width="17.88671875" style="41" customWidth="1"/>
    <col min="16130" max="16130" width="3" style="41" customWidth="1"/>
    <col min="16131" max="16131" width="18.44140625" style="41" customWidth="1"/>
    <col min="16132" max="16132" width="14.33203125" style="41" bestFit="1" customWidth="1"/>
    <col min="16133" max="16384" width="9.109375" style="41"/>
  </cols>
  <sheetData>
    <row r="1" spans="1:11" ht="15" customHeight="1">
      <c r="A1" s="38" t="str">
        <f>'1-P&amp;G''s '!A1</f>
        <v>GREATER LETABA MUNICIPALITY</v>
      </c>
      <c r="B1" s="38"/>
      <c r="F1" s="42"/>
    </row>
    <row r="2" spans="1:11" ht="15" customHeight="1">
      <c r="A2" s="38" t="str">
        <f>'1-P&amp;G''s '!A2</f>
        <v>CONTRACT NUMBER: GLM015/2025</v>
      </c>
      <c r="B2" s="38"/>
      <c r="C2" s="38"/>
      <c r="D2" s="38"/>
      <c r="E2" s="38"/>
      <c r="F2" s="38"/>
    </row>
    <row r="3" spans="1:11" ht="15" customHeight="1">
      <c r="A3" s="38" t="str">
        <f>'1-P&amp;G''s '!A3</f>
        <v>CONSTRUCTION OF MAPHALLE LANDFILL SITE PH2</v>
      </c>
      <c r="B3" s="43"/>
      <c r="F3" s="42"/>
    </row>
    <row r="4" spans="1:11" ht="15" customHeight="1" thickBot="1">
      <c r="A4" s="38"/>
      <c r="B4" s="38"/>
      <c r="F4" s="42"/>
    </row>
    <row r="5" spans="1:11" ht="15" customHeight="1" thickBot="1">
      <c r="A5" s="2278" t="s">
        <v>214</v>
      </c>
      <c r="B5" s="2279"/>
      <c r="C5" s="2279"/>
      <c r="D5" s="2279"/>
      <c r="E5" s="2279"/>
      <c r="F5" s="2279"/>
      <c r="G5" s="2279"/>
      <c r="H5" s="2279"/>
      <c r="I5" s="2279"/>
      <c r="J5" s="2279"/>
      <c r="K5" s="2037"/>
    </row>
    <row r="6" spans="1:11" ht="24" customHeight="1">
      <c r="A6" s="2038"/>
      <c r="B6" s="2039"/>
      <c r="C6" s="2039"/>
      <c r="D6" s="2039"/>
      <c r="E6" s="2039"/>
      <c r="F6" s="2039"/>
      <c r="G6" s="2039"/>
      <c r="H6" s="2039"/>
      <c r="I6" s="2039"/>
      <c r="J6" s="2039"/>
      <c r="K6" s="199" t="s">
        <v>567</v>
      </c>
    </row>
    <row r="7" spans="1:11" ht="15" customHeight="1">
      <c r="A7" s="2040"/>
      <c r="B7" s="2041"/>
      <c r="C7" s="2041"/>
      <c r="D7" s="2041"/>
      <c r="E7" s="2041"/>
      <c r="F7" s="2041"/>
      <c r="G7" s="2041"/>
      <c r="H7" s="2041"/>
      <c r="I7" s="2041"/>
      <c r="J7" s="2041"/>
      <c r="K7" s="194"/>
    </row>
    <row r="8" spans="1:11" ht="18" customHeight="1">
      <c r="A8" s="2337" t="s">
        <v>152</v>
      </c>
      <c r="B8" s="2338"/>
      <c r="C8" s="2339" t="s">
        <v>161</v>
      </c>
      <c r="D8" s="2339"/>
      <c r="E8" s="2339"/>
      <c r="F8" s="2339"/>
      <c r="G8" s="2339"/>
      <c r="H8" s="2339"/>
      <c r="I8" s="2339"/>
      <c r="J8" s="2339"/>
      <c r="K8" s="2340"/>
    </row>
    <row r="9" spans="1:11" ht="18" customHeight="1">
      <c r="A9" s="2040"/>
      <c r="B9" s="2041"/>
      <c r="C9" s="2041"/>
      <c r="D9" s="2041"/>
      <c r="E9" s="2041"/>
      <c r="F9" s="2041"/>
      <c r="G9" s="2041"/>
      <c r="H9" s="2041"/>
      <c r="I9" s="2041"/>
      <c r="J9" s="2041"/>
      <c r="K9" s="195"/>
    </row>
    <row r="10" spans="1:11" ht="18" customHeight="1">
      <c r="A10" s="2337" t="s">
        <v>154</v>
      </c>
      <c r="B10" s="2338"/>
      <c r="C10" s="2338" t="s">
        <v>988</v>
      </c>
      <c r="D10" s="2338"/>
      <c r="E10" s="2338"/>
      <c r="F10" s="2338"/>
      <c r="G10" s="2338"/>
      <c r="H10" s="2338"/>
      <c r="I10" s="2338"/>
      <c r="J10" s="2339"/>
      <c r="K10" s="2340"/>
    </row>
    <row r="11" spans="1:11" ht="18" customHeight="1">
      <c r="A11" s="2341"/>
      <c r="B11" s="2339"/>
      <c r="C11" s="2339"/>
      <c r="D11" s="2339"/>
      <c r="E11" s="2339"/>
      <c r="F11" s="2339"/>
      <c r="G11" s="2339"/>
      <c r="H11" s="2339"/>
      <c r="I11" s="2339"/>
      <c r="J11" s="2339"/>
      <c r="K11" s="2340"/>
    </row>
    <row r="12" spans="1:11" ht="18" customHeight="1">
      <c r="A12" s="2341" t="s">
        <v>201</v>
      </c>
      <c r="B12" s="2339"/>
      <c r="C12" s="2338" t="s">
        <v>162</v>
      </c>
      <c r="D12" s="2338"/>
      <c r="E12" s="2338"/>
      <c r="F12" s="2338"/>
      <c r="G12" s="2338"/>
      <c r="H12" s="2338"/>
      <c r="I12" s="2339"/>
      <c r="J12" s="2339"/>
      <c r="K12" s="2340"/>
    </row>
    <row r="13" spans="1:11" ht="18" customHeight="1">
      <c r="A13" s="2341"/>
      <c r="B13" s="2339"/>
      <c r="C13" s="2339"/>
      <c r="D13" s="2339"/>
      <c r="E13" s="2339"/>
      <c r="F13" s="2339"/>
      <c r="G13" s="2339"/>
      <c r="H13" s="2339"/>
      <c r="I13" s="2339"/>
      <c r="J13" s="2339"/>
      <c r="K13" s="2340"/>
    </row>
    <row r="14" spans="1:11" ht="18" customHeight="1">
      <c r="A14" s="2341" t="s">
        <v>155</v>
      </c>
      <c r="B14" s="2339"/>
      <c r="C14" s="2338" t="s">
        <v>163</v>
      </c>
      <c r="D14" s="2338"/>
      <c r="E14" s="2338"/>
      <c r="F14" s="2338"/>
      <c r="G14" s="2338"/>
      <c r="H14" s="2338"/>
      <c r="I14" s="2339"/>
      <c r="J14" s="2339"/>
      <c r="K14" s="2340"/>
    </row>
    <row r="15" spans="1:11" ht="18" customHeight="1">
      <c r="A15" s="2341"/>
      <c r="B15" s="2339"/>
      <c r="C15" s="2342"/>
      <c r="D15" s="2342"/>
      <c r="E15" s="2342"/>
      <c r="F15" s="2342"/>
      <c r="G15" s="2342"/>
      <c r="H15" s="2342"/>
      <c r="I15" s="2339"/>
      <c r="J15" s="2339"/>
      <c r="K15" s="2340"/>
    </row>
    <row r="16" spans="1:11" ht="18" customHeight="1">
      <c r="A16" s="2341" t="s">
        <v>156</v>
      </c>
      <c r="B16" s="2339"/>
      <c r="C16" s="2338" t="s">
        <v>1333</v>
      </c>
      <c r="D16" s="2338"/>
      <c r="E16" s="2338"/>
      <c r="F16" s="2338"/>
      <c r="G16" s="2338"/>
      <c r="H16" s="2338"/>
      <c r="I16" s="2339"/>
      <c r="J16" s="2339"/>
      <c r="K16" s="2340"/>
    </row>
    <row r="17" spans="1:15" ht="18" customHeight="1">
      <c r="A17" s="2341"/>
      <c r="B17" s="2339"/>
      <c r="C17" s="2342"/>
      <c r="D17" s="2342"/>
      <c r="E17" s="2342"/>
      <c r="F17" s="2342"/>
      <c r="G17" s="2342"/>
      <c r="H17" s="2342"/>
      <c r="I17" s="2339"/>
      <c r="J17" s="2339"/>
      <c r="K17" s="2340"/>
    </row>
    <row r="18" spans="1:15" ht="39.75" customHeight="1">
      <c r="A18" s="2343" t="s">
        <v>1335</v>
      </c>
      <c r="B18" s="2339"/>
      <c r="C18" s="2344" t="s">
        <v>1334</v>
      </c>
      <c r="D18" s="2344"/>
      <c r="E18" s="2344"/>
      <c r="F18" s="2344"/>
      <c r="G18" s="2344"/>
      <c r="H18" s="2344"/>
      <c r="I18" s="2339"/>
      <c r="J18" s="2339"/>
      <c r="K18" s="2340"/>
    </row>
    <row r="19" spans="1:15" ht="18" customHeight="1">
      <c r="A19" s="2341"/>
      <c r="B19" s="2339"/>
      <c r="C19" s="2342"/>
      <c r="D19" s="2342"/>
      <c r="E19" s="2342"/>
      <c r="F19" s="2342"/>
      <c r="G19" s="2342"/>
      <c r="H19" s="2342"/>
      <c r="I19" s="2339"/>
      <c r="J19" s="2339"/>
      <c r="K19" s="2340"/>
    </row>
    <row r="20" spans="1:15" ht="18" customHeight="1">
      <c r="A20" s="2341" t="s">
        <v>1336</v>
      </c>
      <c r="B20" s="2339"/>
      <c r="C20" s="2342" t="s">
        <v>1337</v>
      </c>
      <c r="D20" s="2342"/>
      <c r="E20" s="2342"/>
      <c r="F20" s="2342"/>
      <c r="G20" s="2342"/>
      <c r="H20" s="2342"/>
      <c r="I20" s="2339"/>
      <c r="J20" s="2339"/>
      <c r="K20" s="2340"/>
    </row>
    <row r="21" spans="1:15" ht="18" customHeight="1">
      <c r="A21" s="2341"/>
      <c r="B21" s="2339"/>
      <c r="C21" s="2342"/>
      <c r="D21" s="2342"/>
      <c r="E21" s="2342"/>
      <c r="F21" s="2342"/>
      <c r="G21" s="2342"/>
      <c r="H21" s="2342"/>
      <c r="I21" s="2339"/>
      <c r="J21" s="2339"/>
      <c r="K21" s="2340"/>
    </row>
    <row r="22" spans="1:15" ht="18" customHeight="1">
      <c r="A22" s="2341" t="s">
        <v>1338</v>
      </c>
      <c r="B22" s="2339"/>
      <c r="C22" s="2342" t="s">
        <v>1339</v>
      </c>
      <c r="D22" s="2342"/>
      <c r="E22" s="2342"/>
      <c r="F22" s="2342"/>
      <c r="G22" s="2342"/>
      <c r="H22" s="2342"/>
      <c r="I22" s="2339"/>
      <c r="J22" s="2339"/>
      <c r="K22" s="2340"/>
      <c r="O22" s="952"/>
    </row>
    <row r="23" spans="1:15" ht="18" customHeight="1">
      <c r="A23" s="2341"/>
      <c r="B23" s="2339"/>
      <c r="C23" s="2342"/>
      <c r="D23" s="2342"/>
      <c r="E23" s="2342"/>
      <c r="F23" s="2342"/>
      <c r="G23" s="2342"/>
      <c r="H23" s="2342"/>
      <c r="I23" s="2339"/>
      <c r="J23" s="2339"/>
      <c r="K23" s="2340"/>
      <c r="O23" s="952"/>
    </row>
    <row r="24" spans="1:15" ht="19.8" customHeight="1">
      <c r="A24" s="2341" t="s">
        <v>1340</v>
      </c>
      <c r="B24" s="2339"/>
      <c r="C24" s="2344" t="s">
        <v>1779</v>
      </c>
      <c r="D24" s="2344"/>
      <c r="E24" s="2344"/>
      <c r="F24" s="2344"/>
      <c r="G24" s="2344"/>
      <c r="H24" s="2344"/>
      <c r="I24" s="2344"/>
      <c r="J24" s="2345"/>
      <c r="K24" s="2340"/>
    </row>
    <row r="25" spans="1:15" ht="18" customHeight="1">
      <c r="A25" s="2040"/>
      <c r="B25" s="2041"/>
      <c r="C25" s="2042"/>
      <c r="D25" s="2042"/>
      <c r="E25" s="2042"/>
      <c r="F25" s="2042"/>
      <c r="G25" s="2042"/>
      <c r="H25" s="2042"/>
      <c r="I25" s="2041"/>
      <c r="J25" s="2041"/>
      <c r="K25" s="195"/>
    </row>
    <row r="26" spans="1:15" ht="21.75" customHeight="1" thickBot="1">
      <c r="A26" s="2040"/>
      <c r="B26" s="2041"/>
      <c r="C26" s="2041"/>
      <c r="D26" s="2041"/>
      <c r="E26" s="2041"/>
      <c r="F26" s="2041"/>
      <c r="G26" s="2041"/>
      <c r="H26" s="2041"/>
      <c r="I26" s="2041"/>
      <c r="J26" s="2041"/>
      <c r="K26" s="196"/>
    </row>
    <row r="27" spans="1:15" ht="18" customHeight="1" thickBot="1">
      <c r="A27" s="2359" t="s">
        <v>157</v>
      </c>
      <c r="B27" s="2360"/>
      <c r="C27" s="2360"/>
      <c r="D27" s="2339"/>
      <c r="E27" s="2339"/>
      <c r="F27" s="2339"/>
      <c r="G27" s="2339"/>
      <c r="H27" s="2339"/>
      <c r="I27" s="2339"/>
      <c r="J27" s="2358"/>
      <c r="K27" s="197"/>
      <c r="L27" s="905"/>
    </row>
    <row r="28" spans="1:15" ht="18" customHeight="1">
      <c r="A28" s="2043"/>
      <c r="B28" s="2042"/>
      <c r="C28" s="2042"/>
      <c r="D28" s="2041"/>
      <c r="E28" s="2041"/>
      <c r="F28" s="2041"/>
      <c r="G28" s="2041"/>
      <c r="H28" s="2041"/>
      <c r="I28" s="2041"/>
      <c r="J28" s="2041"/>
      <c r="K28" s="194"/>
    </row>
    <row r="29" spans="1:15" ht="18" customHeight="1">
      <c r="A29" s="2346" t="s">
        <v>197</v>
      </c>
      <c r="B29" s="2347"/>
      <c r="C29" s="2347"/>
      <c r="D29" s="2348"/>
      <c r="E29" s="2348"/>
      <c r="F29" s="2348"/>
      <c r="G29" s="2348"/>
      <c r="H29" s="2348"/>
      <c r="I29" s="2348"/>
      <c r="J29" s="2348"/>
      <c r="K29" s="2349"/>
    </row>
    <row r="30" spans="1:15" ht="18" customHeight="1">
      <c r="A30" s="2350"/>
      <c r="B30" s="2351"/>
      <c r="C30" s="2351"/>
      <c r="D30" s="2352"/>
      <c r="E30" s="2352"/>
      <c r="F30" s="2352"/>
      <c r="G30" s="2352"/>
      <c r="H30" s="2352"/>
      <c r="I30" s="2352"/>
      <c r="J30" s="2352"/>
      <c r="K30" s="2356"/>
    </row>
    <row r="31" spans="1:15" ht="18" customHeight="1">
      <c r="A31" s="2350" t="s">
        <v>1384</v>
      </c>
      <c r="B31" s="2351"/>
      <c r="C31" s="2351"/>
      <c r="D31" s="2352"/>
      <c r="E31" s="2352"/>
      <c r="F31" s="2352"/>
      <c r="G31" s="2352"/>
      <c r="H31" s="2352"/>
      <c r="I31" s="2352"/>
      <c r="J31" s="2352"/>
      <c r="K31" s="2353"/>
    </row>
    <row r="32" spans="1:15" ht="18" customHeight="1" thickBot="1">
      <c r="A32" s="2043"/>
      <c r="B32" s="2042"/>
      <c r="C32" s="2042"/>
      <c r="D32" s="2042"/>
      <c r="E32" s="2042"/>
      <c r="F32" s="2042"/>
      <c r="G32" s="2041"/>
      <c r="H32" s="2041"/>
      <c r="I32" s="2041"/>
      <c r="J32" s="2041"/>
      <c r="K32" s="194"/>
    </row>
    <row r="33" spans="1:15" ht="18" customHeight="1" thickBot="1">
      <c r="A33" s="2357" t="s">
        <v>157</v>
      </c>
      <c r="B33" s="2342"/>
      <c r="C33" s="2342"/>
      <c r="D33" s="2339"/>
      <c r="E33" s="2339"/>
      <c r="F33" s="2339"/>
      <c r="G33" s="2339"/>
      <c r="H33" s="2339"/>
      <c r="I33" s="2339"/>
      <c r="J33" s="2358"/>
      <c r="K33" s="197"/>
      <c r="L33" s="905"/>
    </row>
    <row r="34" spans="1:15" ht="18" customHeight="1">
      <c r="A34" s="2043"/>
      <c r="B34" s="2042"/>
      <c r="C34" s="2042"/>
      <c r="D34" s="2041"/>
      <c r="E34" s="2041"/>
      <c r="F34" s="2041"/>
      <c r="G34" s="2041"/>
      <c r="H34" s="2041"/>
      <c r="I34" s="2041"/>
      <c r="J34" s="2041"/>
      <c r="K34" s="194"/>
    </row>
    <row r="35" spans="1:15" ht="18" customHeight="1">
      <c r="A35" s="2354" t="s">
        <v>876</v>
      </c>
      <c r="B35" s="2342"/>
      <c r="C35" s="2342"/>
      <c r="D35" s="2339"/>
      <c r="E35" s="2339"/>
      <c r="F35" s="2339"/>
      <c r="G35" s="2339"/>
      <c r="H35" s="2339"/>
      <c r="I35" s="2339"/>
      <c r="J35" s="2339"/>
      <c r="K35" s="2355"/>
    </row>
    <row r="36" spans="1:15" ht="18" customHeight="1">
      <c r="A36" s="2043"/>
      <c r="B36" s="2042"/>
      <c r="C36" s="2042"/>
      <c r="D36" s="2041"/>
      <c r="E36" s="2041"/>
      <c r="F36" s="2041"/>
      <c r="G36" s="2041"/>
      <c r="H36" s="2041"/>
      <c r="I36" s="2041"/>
      <c r="J36" s="2041"/>
      <c r="K36" s="2361"/>
    </row>
    <row r="37" spans="1:15" ht="18" customHeight="1" thickBot="1">
      <c r="A37" s="2043"/>
      <c r="B37" s="2042"/>
      <c r="C37" s="2042"/>
      <c r="D37" s="2041"/>
      <c r="E37" s="2041"/>
      <c r="F37" s="2041"/>
      <c r="G37" s="2041"/>
      <c r="H37" s="2041"/>
      <c r="I37" s="2041"/>
      <c r="J37" s="2041"/>
      <c r="K37" s="194"/>
    </row>
    <row r="38" spans="1:15" ht="18" customHeight="1" thickBot="1">
      <c r="A38" s="2044" t="s">
        <v>215</v>
      </c>
      <c r="B38" s="2042"/>
      <c r="C38" s="2042"/>
      <c r="D38" s="2041"/>
      <c r="E38" s="2041"/>
      <c r="F38" s="2041"/>
      <c r="G38" s="2041"/>
      <c r="H38" s="2041"/>
      <c r="I38" s="2041"/>
      <c r="J38" s="2041"/>
      <c r="K38" s="2362"/>
    </row>
    <row r="39" spans="1:15" ht="18" customHeight="1" thickTop="1" thickBot="1">
      <c r="A39" s="2045"/>
      <c r="B39" s="2046"/>
      <c r="C39" s="2046"/>
      <c r="D39" s="2047"/>
      <c r="E39" s="2047"/>
      <c r="F39" s="2047"/>
      <c r="G39" s="2047"/>
      <c r="H39" s="2047"/>
      <c r="I39" s="2047"/>
      <c r="J39" s="2047"/>
      <c r="K39" s="198"/>
    </row>
    <row r="40" spans="1:15" ht="18" customHeight="1">
      <c r="A40" s="133"/>
      <c r="B40" s="133"/>
      <c r="C40" s="133"/>
      <c r="O40" s="952"/>
    </row>
    <row r="41" spans="1:15" ht="18" customHeight="1">
      <c r="A41" s="133"/>
      <c r="B41" s="133"/>
      <c r="C41" s="133"/>
      <c r="K41" s="952"/>
    </row>
    <row r="42" spans="1:15" ht="18" customHeight="1">
      <c r="A42" s="133"/>
      <c r="B42" s="133"/>
      <c r="C42" s="133"/>
    </row>
    <row r="43" spans="1:15" ht="15" customHeight="1">
      <c r="A43" s="133"/>
      <c r="B43" s="133"/>
      <c r="C43" s="133"/>
    </row>
    <row r="44" spans="1:15" ht="15" customHeight="1">
      <c r="A44" s="133"/>
      <c r="B44" s="133"/>
      <c r="C44" s="133"/>
    </row>
    <row r="45" spans="1:15" ht="15" customHeight="1">
      <c r="A45" s="133"/>
      <c r="B45" s="133"/>
      <c r="C45" s="133"/>
    </row>
    <row r="46" spans="1:15" ht="15" customHeight="1">
      <c r="A46" s="133"/>
      <c r="B46" s="133"/>
      <c r="C46" s="133"/>
    </row>
    <row r="47" spans="1:15" ht="15" customHeight="1">
      <c r="A47" s="133"/>
      <c r="B47" s="133"/>
      <c r="C47" s="133"/>
    </row>
    <row r="48" spans="1:15" ht="15" customHeight="1">
      <c r="A48" s="133"/>
      <c r="B48" s="133"/>
      <c r="C48" s="133"/>
    </row>
    <row r="49" spans="1:10" ht="15" customHeight="1">
      <c r="A49" s="133"/>
      <c r="B49" s="133"/>
      <c r="C49" s="133"/>
    </row>
    <row r="50" spans="1:10" ht="15" customHeight="1">
      <c r="A50" s="133"/>
      <c r="B50" s="133"/>
      <c r="C50" s="133"/>
    </row>
    <row r="51" spans="1:10" ht="15" customHeight="1">
      <c r="A51" s="133"/>
      <c r="B51" s="133"/>
      <c r="C51" s="133"/>
    </row>
    <row r="52" spans="1:10" ht="15" customHeight="1">
      <c r="A52" s="133"/>
      <c r="B52" s="133"/>
      <c r="C52" s="133"/>
    </row>
    <row r="53" spans="1:10" ht="15" customHeight="1">
      <c r="I53" s="38"/>
    </row>
    <row r="54" spans="1:10" ht="15" customHeight="1"/>
    <row r="55" spans="1:10" ht="15" customHeight="1"/>
    <row r="56" spans="1:10" ht="15" customHeight="1">
      <c r="G56" s="38"/>
    </row>
    <row r="57" spans="1:10" ht="15" customHeight="1"/>
    <row r="58" spans="1:10" ht="15" customHeight="1">
      <c r="G58" s="2277"/>
      <c r="H58" s="2277"/>
      <c r="I58" s="2277"/>
      <c r="J58" s="2277"/>
    </row>
    <row r="61" spans="1:10">
      <c r="G61" s="38"/>
    </row>
  </sheetData>
  <mergeCells count="11">
    <mergeCell ref="G58:J58"/>
    <mergeCell ref="A5:J5"/>
    <mergeCell ref="A8:B8"/>
    <mergeCell ref="A10:B10"/>
    <mergeCell ref="C10:I10"/>
    <mergeCell ref="C12:H12"/>
    <mergeCell ref="C14:H14"/>
    <mergeCell ref="A27:C27"/>
    <mergeCell ref="C16:H16"/>
    <mergeCell ref="C18:H18"/>
    <mergeCell ref="C24:J24"/>
  </mergeCells>
  <pageMargins left="0.70866141732283472" right="0.70866141732283472" top="0.74803149606299213" bottom="0.74803149606299213" header="0.31496062992125984" footer="0.31496062992125984"/>
  <pageSetup paperSize="9" scale="71" firstPageNumber="17" fitToHeight="0" orientation="portrait" r:id="rId1"/>
  <headerFooter scaleWithDoc="0" alignWithMargins="0">
    <oddHeader>&amp;C&amp;"Arial Narrow,Regular"&amp;10C80.36</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4"/>
  <sheetViews>
    <sheetView topLeftCell="B1" zoomScale="85" zoomScaleNormal="85" workbookViewId="0">
      <selection activeCell="G29" sqref="G29"/>
    </sheetView>
  </sheetViews>
  <sheetFormatPr defaultRowHeight="13.8"/>
  <cols>
    <col min="1" max="1" width="9.109375" style="847"/>
    <col min="2" max="2" width="12.6640625" style="847" customWidth="1"/>
    <col min="3" max="3" width="18.44140625" style="847" customWidth="1"/>
    <col min="4" max="4" width="18.33203125" style="847" customWidth="1"/>
    <col min="5" max="5" width="20.5546875" style="847" customWidth="1"/>
    <col min="6" max="6" width="19.33203125" style="847" customWidth="1"/>
    <col min="7" max="7" width="22.109375" style="847" customWidth="1"/>
    <col min="8" max="8" width="11.33203125" style="847" customWidth="1"/>
    <col min="9" max="9" width="9.109375" style="847"/>
    <col min="10" max="10" width="14.5546875" style="847" customWidth="1"/>
    <col min="11" max="11" width="16.109375" style="847" customWidth="1"/>
    <col min="12" max="12" width="18.109375" style="847" customWidth="1"/>
    <col min="13" max="13" width="15.44140625" style="847" customWidth="1"/>
    <col min="14" max="14" width="10.44140625" style="847" customWidth="1"/>
    <col min="15" max="15" width="13.44140625" style="847" customWidth="1"/>
    <col min="16" max="16" width="17.109375" style="847" customWidth="1"/>
    <col min="17" max="17" width="18.88671875" style="847" customWidth="1"/>
    <col min="18" max="257" width="9.109375" style="847"/>
    <col min="258" max="258" width="12.6640625" style="847" customWidth="1"/>
    <col min="259" max="259" width="18.44140625" style="847" customWidth="1"/>
    <col min="260" max="260" width="18.33203125" style="847" customWidth="1"/>
    <col min="261" max="261" width="20.5546875" style="847" customWidth="1"/>
    <col min="262" max="262" width="19.33203125" style="847" customWidth="1"/>
    <col min="263" max="263" width="22.109375" style="847" customWidth="1"/>
    <col min="264" max="264" width="11.33203125" style="847" customWidth="1"/>
    <col min="265" max="265" width="9.109375" style="847"/>
    <col min="266" max="266" width="11.6640625" style="847" customWidth="1"/>
    <col min="267" max="267" width="16.109375" style="847" customWidth="1"/>
    <col min="268" max="268" width="18.109375" style="847" customWidth="1"/>
    <col min="269" max="269" width="15.44140625" style="847" customWidth="1"/>
    <col min="270" max="270" width="10.44140625" style="847" customWidth="1"/>
    <col min="271" max="271" width="13.44140625" style="847" customWidth="1"/>
    <col min="272" max="272" width="17.109375" style="847" customWidth="1"/>
    <col min="273" max="273" width="18.88671875" style="847" customWidth="1"/>
    <col min="274" max="513" width="9.109375" style="847"/>
    <col min="514" max="514" width="12.6640625" style="847" customWidth="1"/>
    <col min="515" max="515" width="18.44140625" style="847" customWidth="1"/>
    <col min="516" max="516" width="18.33203125" style="847" customWidth="1"/>
    <col min="517" max="517" width="20.5546875" style="847" customWidth="1"/>
    <col min="518" max="518" width="19.33203125" style="847" customWidth="1"/>
    <col min="519" max="519" width="22.109375" style="847" customWidth="1"/>
    <col min="520" max="520" width="11.33203125" style="847" customWidth="1"/>
    <col min="521" max="521" width="9.109375" style="847"/>
    <col min="522" max="522" width="11.6640625" style="847" customWidth="1"/>
    <col min="523" max="523" width="16.109375" style="847" customWidth="1"/>
    <col min="524" max="524" width="18.109375" style="847" customWidth="1"/>
    <col min="525" max="525" width="15.44140625" style="847" customWidth="1"/>
    <col min="526" max="526" width="10.44140625" style="847" customWidth="1"/>
    <col min="527" max="527" width="13.44140625" style="847" customWidth="1"/>
    <col min="528" max="528" width="17.109375" style="847" customWidth="1"/>
    <col min="529" max="529" width="18.88671875" style="847" customWidth="1"/>
    <col min="530" max="769" width="9.109375" style="847"/>
    <col min="770" max="770" width="12.6640625" style="847" customWidth="1"/>
    <col min="771" max="771" width="18.44140625" style="847" customWidth="1"/>
    <col min="772" max="772" width="18.33203125" style="847" customWidth="1"/>
    <col min="773" max="773" width="20.5546875" style="847" customWidth="1"/>
    <col min="774" max="774" width="19.33203125" style="847" customWidth="1"/>
    <col min="775" max="775" width="22.109375" style="847" customWidth="1"/>
    <col min="776" max="776" width="11.33203125" style="847" customWidth="1"/>
    <col min="777" max="777" width="9.109375" style="847"/>
    <col min="778" max="778" width="11.6640625" style="847" customWidth="1"/>
    <col min="779" max="779" width="16.109375" style="847" customWidth="1"/>
    <col min="780" max="780" width="18.109375" style="847" customWidth="1"/>
    <col min="781" max="781" width="15.44140625" style="847" customWidth="1"/>
    <col min="782" max="782" width="10.44140625" style="847" customWidth="1"/>
    <col min="783" max="783" width="13.44140625" style="847" customWidth="1"/>
    <col min="784" max="784" width="17.109375" style="847" customWidth="1"/>
    <col min="785" max="785" width="18.88671875" style="847" customWidth="1"/>
    <col min="786" max="1025" width="9.109375" style="847"/>
    <col min="1026" max="1026" width="12.6640625" style="847" customWidth="1"/>
    <col min="1027" max="1027" width="18.44140625" style="847" customWidth="1"/>
    <col min="1028" max="1028" width="18.33203125" style="847" customWidth="1"/>
    <col min="1029" max="1029" width="20.5546875" style="847" customWidth="1"/>
    <col min="1030" max="1030" width="19.33203125" style="847" customWidth="1"/>
    <col min="1031" max="1031" width="22.109375" style="847" customWidth="1"/>
    <col min="1032" max="1032" width="11.33203125" style="847" customWidth="1"/>
    <col min="1033" max="1033" width="9.109375" style="847"/>
    <col min="1034" max="1034" width="11.6640625" style="847" customWidth="1"/>
    <col min="1035" max="1035" width="16.109375" style="847" customWidth="1"/>
    <col min="1036" max="1036" width="18.109375" style="847" customWidth="1"/>
    <col min="1037" max="1037" width="15.44140625" style="847" customWidth="1"/>
    <col min="1038" max="1038" width="10.44140625" style="847" customWidth="1"/>
    <col min="1039" max="1039" width="13.44140625" style="847" customWidth="1"/>
    <col min="1040" max="1040" width="17.109375" style="847" customWidth="1"/>
    <col min="1041" max="1041" width="18.88671875" style="847" customWidth="1"/>
    <col min="1042" max="1281" width="9.109375" style="847"/>
    <col min="1282" max="1282" width="12.6640625" style="847" customWidth="1"/>
    <col min="1283" max="1283" width="18.44140625" style="847" customWidth="1"/>
    <col min="1284" max="1284" width="18.33203125" style="847" customWidth="1"/>
    <col min="1285" max="1285" width="20.5546875" style="847" customWidth="1"/>
    <col min="1286" max="1286" width="19.33203125" style="847" customWidth="1"/>
    <col min="1287" max="1287" width="22.109375" style="847" customWidth="1"/>
    <col min="1288" max="1288" width="11.33203125" style="847" customWidth="1"/>
    <col min="1289" max="1289" width="9.109375" style="847"/>
    <col min="1290" max="1290" width="11.6640625" style="847" customWidth="1"/>
    <col min="1291" max="1291" width="16.109375" style="847" customWidth="1"/>
    <col min="1292" max="1292" width="18.109375" style="847" customWidth="1"/>
    <col min="1293" max="1293" width="15.44140625" style="847" customWidth="1"/>
    <col min="1294" max="1294" width="10.44140625" style="847" customWidth="1"/>
    <col min="1295" max="1295" width="13.44140625" style="847" customWidth="1"/>
    <col min="1296" max="1296" width="17.109375" style="847" customWidth="1"/>
    <col min="1297" max="1297" width="18.88671875" style="847" customWidth="1"/>
    <col min="1298" max="1537" width="9.109375" style="847"/>
    <col min="1538" max="1538" width="12.6640625" style="847" customWidth="1"/>
    <col min="1539" max="1539" width="18.44140625" style="847" customWidth="1"/>
    <col min="1540" max="1540" width="18.33203125" style="847" customWidth="1"/>
    <col min="1541" max="1541" width="20.5546875" style="847" customWidth="1"/>
    <col min="1542" max="1542" width="19.33203125" style="847" customWidth="1"/>
    <col min="1543" max="1543" width="22.109375" style="847" customWidth="1"/>
    <col min="1544" max="1544" width="11.33203125" style="847" customWidth="1"/>
    <col min="1545" max="1545" width="9.109375" style="847"/>
    <col min="1546" max="1546" width="11.6640625" style="847" customWidth="1"/>
    <col min="1547" max="1547" width="16.109375" style="847" customWidth="1"/>
    <col min="1548" max="1548" width="18.109375" style="847" customWidth="1"/>
    <col min="1549" max="1549" width="15.44140625" style="847" customWidth="1"/>
    <col min="1550" max="1550" width="10.44140625" style="847" customWidth="1"/>
    <col min="1551" max="1551" width="13.44140625" style="847" customWidth="1"/>
    <col min="1552" max="1552" width="17.109375" style="847" customWidth="1"/>
    <col min="1553" max="1553" width="18.88671875" style="847" customWidth="1"/>
    <col min="1554" max="1793" width="9.109375" style="847"/>
    <col min="1794" max="1794" width="12.6640625" style="847" customWidth="1"/>
    <col min="1795" max="1795" width="18.44140625" style="847" customWidth="1"/>
    <col min="1796" max="1796" width="18.33203125" style="847" customWidth="1"/>
    <col min="1797" max="1797" width="20.5546875" style="847" customWidth="1"/>
    <col min="1798" max="1798" width="19.33203125" style="847" customWidth="1"/>
    <col min="1799" max="1799" width="22.109375" style="847" customWidth="1"/>
    <col min="1800" max="1800" width="11.33203125" style="847" customWidth="1"/>
    <col min="1801" max="1801" width="9.109375" style="847"/>
    <col min="1802" max="1802" width="11.6640625" style="847" customWidth="1"/>
    <col min="1803" max="1803" width="16.109375" style="847" customWidth="1"/>
    <col min="1804" max="1804" width="18.109375" style="847" customWidth="1"/>
    <col min="1805" max="1805" width="15.44140625" style="847" customWidth="1"/>
    <col min="1806" max="1806" width="10.44140625" style="847" customWidth="1"/>
    <col min="1807" max="1807" width="13.44140625" style="847" customWidth="1"/>
    <col min="1808" max="1808" width="17.109375" style="847" customWidth="1"/>
    <col min="1809" max="1809" width="18.88671875" style="847" customWidth="1"/>
    <col min="1810" max="2049" width="9.109375" style="847"/>
    <col min="2050" max="2050" width="12.6640625" style="847" customWidth="1"/>
    <col min="2051" max="2051" width="18.44140625" style="847" customWidth="1"/>
    <col min="2052" max="2052" width="18.33203125" style="847" customWidth="1"/>
    <col min="2053" max="2053" width="20.5546875" style="847" customWidth="1"/>
    <col min="2054" max="2054" width="19.33203125" style="847" customWidth="1"/>
    <col min="2055" max="2055" width="22.109375" style="847" customWidth="1"/>
    <col min="2056" max="2056" width="11.33203125" style="847" customWidth="1"/>
    <col min="2057" max="2057" width="9.109375" style="847"/>
    <col min="2058" max="2058" width="11.6640625" style="847" customWidth="1"/>
    <col min="2059" max="2059" width="16.109375" style="847" customWidth="1"/>
    <col min="2060" max="2060" width="18.109375" style="847" customWidth="1"/>
    <col min="2061" max="2061" width="15.44140625" style="847" customWidth="1"/>
    <col min="2062" max="2062" width="10.44140625" style="847" customWidth="1"/>
    <col min="2063" max="2063" width="13.44140625" style="847" customWidth="1"/>
    <col min="2064" max="2064" width="17.109375" style="847" customWidth="1"/>
    <col min="2065" max="2065" width="18.88671875" style="847" customWidth="1"/>
    <col min="2066" max="2305" width="9.109375" style="847"/>
    <col min="2306" max="2306" width="12.6640625" style="847" customWidth="1"/>
    <col min="2307" max="2307" width="18.44140625" style="847" customWidth="1"/>
    <col min="2308" max="2308" width="18.33203125" style="847" customWidth="1"/>
    <col min="2309" max="2309" width="20.5546875" style="847" customWidth="1"/>
    <col min="2310" max="2310" width="19.33203125" style="847" customWidth="1"/>
    <col min="2311" max="2311" width="22.109375" style="847" customWidth="1"/>
    <col min="2312" max="2312" width="11.33203125" style="847" customWidth="1"/>
    <col min="2313" max="2313" width="9.109375" style="847"/>
    <col min="2314" max="2314" width="11.6640625" style="847" customWidth="1"/>
    <col min="2315" max="2315" width="16.109375" style="847" customWidth="1"/>
    <col min="2316" max="2316" width="18.109375" style="847" customWidth="1"/>
    <col min="2317" max="2317" width="15.44140625" style="847" customWidth="1"/>
    <col min="2318" max="2318" width="10.44140625" style="847" customWidth="1"/>
    <col min="2319" max="2319" width="13.44140625" style="847" customWidth="1"/>
    <col min="2320" max="2320" width="17.109375" style="847" customWidth="1"/>
    <col min="2321" max="2321" width="18.88671875" style="847" customWidth="1"/>
    <col min="2322" max="2561" width="9.109375" style="847"/>
    <col min="2562" max="2562" width="12.6640625" style="847" customWidth="1"/>
    <col min="2563" max="2563" width="18.44140625" style="847" customWidth="1"/>
    <col min="2564" max="2564" width="18.33203125" style="847" customWidth="1"/>
    <col min="2565" max="2565" width="20.5546875" style="847" customWidth="1"/>
    <col min="2566" max="2566" width="19.33203125" style="847" customWidth="1"/>
    <col min="2567" max="2567" width="22.109375" style="847" customWidth="1"/>
    <col min="2568" max="2568" width="11.33203125" style="847" customWidth="1"/>
    <col min="2569" max="2569" width="9.109375" style="847"/>
    <col min="2570" max="2570" width="11.6640625" style="847" customWidth="1"/>
    <col min="2571" max="2571" width="16.109375" style="847" customWidth="1"/>
    <col min="2572" max="2572" width="18.109375" style="847" customWidth="1"/>
    <col min="2573" max="2573" width="15.44140625" style="847" customWidth="1"/>
    <col min="2574" max="2574" width="10.44140625" style="847" customWidth="1"/>
    <col min="2575" max="2575" width="13.44140625" style="847" customWidth="1"/>
    <col min="2576" max="2576" width="17.109375" style="847" customWidth="1"/>
    <col min="2577" max="2577" width="18.88671875" style="847" customWidth="1"/>
    <col min="2578" max="2817" width="9.109375" style="847"/>
    <col min="2818" max="2818" width="12.6640625" style="847" customWidth="1"/>
    <col min="2819" max="2819" width="18.44140625" style="847" customWidth="1"/>
    <col min="2820" max="2820" width="18.33203125" style="847" customWidth="1"/>
    <col min="2821" max="2821" width="20.5546875" style="847" customWidth="1"/>
    <col min="2822" max="2822" width="19.33203125" style="847" customWidth="1"/>
    <col min="2823" max="2823" width="22.109375" style="847" customWidth="1"/>
    <col min="2824" max="2824" width="11.33203125" style="847" customWidth="1"/>
    <col min="2825" max="2825" width="9.109375" style="847"/>
    <col min="2826" max="2826" width="11.6640625" style="847" customWidth="1"/>
    <col min="2827" max="2827" width="16.109375" style="847" customWidth="1"/>
    <col min="2828" max="2828" width="18.109375" style="847" customWidth="1"/>
    <col min="2829" max="2829" width="15.44140625" style="847" customWidth="1"/>
    <col min="2830" max="2830" width="10.44140625" style="847" customWidth="1"/>
    <col min="2831" max="2831" width="13.44140625" style="847" customWidth="1"/>
    <col min="2832" max="2832" width="17.109375" style="847" customWidth="1"/>
    <col min="2833" max="2833" width="18.88671875" style="847" customWidth="1"/>
    <col min="2834" max="3073" width="9.109375" style="847"/>
    <col min="3074" max="3074" width="12.6640625" style="847" customWidth="1"/>
    <col min="3075" max="3075" width="18.44140625" style="847" customWidth="1"/>
    <col min="3076" max="3076" width="18.33203125" style="847" customWidth="1"/>
    <col min="3077" max="3077" width="20.5546875" style="847" customWidth="1"/>
    <col min="3078" max="3078" width="19.33203125" style="847" customWidth="1"/>
    <col min="3079" max="3079" width="22.109375" style="847" customWidth="1"/>
    <col min="3080" max="3080" width="11.33203125" style="847" customWidth="1"/>
    <col min="3081" max="3081" width="9.109375" style="847"/>
    <col min="3082" max="3082" width="11.6640625" style="847" customWidth="1"/>
    <col min="3083" max="3083" width="16.109375" style="847" customWidth="1"/>
    <col min="3084" max="3084" width="18.109375" style="847" customWidth="1"/>
    <col min="3085" max="3085" width="15.44140625" style="847" customWidth="1"/>
    <col min="3086" max="3086" width="10.44140625" style="847" customWidth="1"/>
    <col min="3087" max="3087" width="13.44140625" style="847" customWidth="1"/>
    <col min="3088" max="3088" width="17.109375" style="847" customWidth="1"/>
    <col min="3089" max="3089" width="18.88671875" style="847" customWidth="1"/>
    <col min="3090" max="3329" width="9.109375" style="847"/>
    <col min="3330" max="3330" width="12.6640625" style="847" customWidth="1"/>
    <col min="3331" max="3331" width="18.44140625" style="847" customWidth="1"/>
    <col min="3332" max="3332" width="18.33203125" style="847" customWidth="1"/>
    <col min="3333" max="3333" width="20.5546875" style="847" customWidth="1"/>
    <col min="3334" max="3334" width="19.33203125" style="847" customWidth="1"/>
    <col min="3335" max="3335" width="22.109375" style="847" customWidth="1"/>
    <col min="3336" max="3336" width="11.33203125" style="847" customWidth="1"/>
    <col min="3337" max="3337" width="9.109375" style="847"/>
    <col min="3338" max="3338" width="11.6640625" style="847" customWidth="1"/>
    <col min="3339" max="3339" width="16.109375" style="847" customWidth="1"/>
    <col min="3340" max="3340" width="18.109375" style="847" customWidth="1"/>
    <col min="3341" max="3341" width="15.44140625" style="847" customWidth="1"/>
    <col min="3342" max="3342" width="10.44140625" style="847" customWidth="1"/>
    <col min="3343" max="3343" width="13.44140625" style="847" customWidth="1"/>
    <col min="3344" max="3344" width="17.109375" style="847" customWidth="1"/>
    <col min="3345" max="3345" width="18.88671875" style="847" customWidth="1"/>
    <col min="3346" max="3585" width="9.109375" style="847"/>
    <col min="3586" max="3586" width="12.6640625" style="847" customWidth="1"/>
    <col min="3587" max="3587" width="18.44140625" style="847" customWidth="1"/>
    <col min="3588" max="3588" width="18.33203125" style="847" customWidth="1"/>
    <col min="3589" max="3589" width="20.5546875" style="847" customWidth="1"/>
    <col min="3590" max="3590" width="19.33203125" style="847" customWidth="1"/>
    <col min="3591" max="3591" width="22.109375" style="847" customWidth="1"/>
    <col min="3592" max="3592" width="11.33203125" style="847" customWidth="1"/>
    <col min="3593" max="3593" width="9.109375" style="847"/>
    <col min="3594" max="3594" width="11.6640625" style="847" customWidth="1"/>
    <col min="3595" max="3595" width="16.109375" style="847" customWidth="1"/>
    <col min="3596" max="3596" width="18.109375" style="847" customWidth="1"/>
    <col min="3597" max="3597" width="15.44140625" style="847" customWidth="1"/>
    <col min="3598" max="3598" width="10.44140625" style="847" customWidth="1"/>
    <col min="3599" max="3599" width="13.44140625" style="847" customWidth="1"/>
    <col min="3600" max="3600" width="17.109375" style="847" customWidth="1"/>
    <col min="3601" max="3601" width="18.88671875" style="847" customWidth="1"/>
    <col min="3602" max="3841" width="9.109375" style="847"/>
    <col min="3842" max="3842" width="12.6640625" style="847" customWidth="1"/>
    <col min="3843" max="3843" width="18.44140625" style="847" customWidth="1"/>
    <col min="3844" max="3844" width="18.33203125" style="847" customWidth="1"/>
    <col min="3845" max="3845" width="20.5546875" style="847" customWidth="1"/>
    <col min="3846" max="3846" width="19.33203125" style="847" customWidth="1"/>
    <col min="3847" max="3847" width="22.109375" style="847" customWidth="1"/>
    <col min="3848" max="3848" width="11.33203125" style="847" customWidth="1"/>
    <col min="3849" max="3849" width="9.109375" style="847"/>
    <col min="3850" max="3850" width="11.6640625" style="847" customWidth="1"/>
    <col min="3851" max="3851" width="16.109375" style="847" customWidth="1"/>
    <col min="3852" max="3852" width="18.109375" style="847" customWidth="1"/>
    <col min="3853" max="3853" width="15.44140625" style="847" customWidth="1"/>
    <col min="3854" max="3854" width="10.44140625" style="847" customWidth="1"/>
    <col min="3855" max="3855" width="13.44140625" style="847" customWidth="1"/>
    <col min="3856" max="3856" width="17.109375" style="847" customWidth="1"/>
    <col min="3857" max="3857" width="18.88671875" style="847" customWidth="1"/>
    <col min="3858" max="4097" width="9.109375" style="847"/>
    <col min="4098" max="4098" width="12.6640625" style="847" customWidth="1"/>
    <col min="4099" max="4099" width="18.44140625" style="847" customWidth="1"/>
    <col min="4100" max="4100" width="18.33203125" style="847" customWidth="1"/>
    <col min="4101" max="4101" width="20.5546875" style="847" customWidth="1"/>
    <col min="4102" max="4102" width="19.33203125" style="847" customWidth="1"/>
    <col min="4103" max="4103" width="22.109375" style="847" customWidth="1"/>
    <col min="4104" max="4104" width="11.33203125" style="847" customWidth="1"/>
    <col min="4105" max="4105" width="9.109375" style="847"/>
    <col min="4106" max="4106" width="11.6640625" style="847" customWidth="1"/>
    <col min="4107" max="4107" width="16.109375" style="847" customWidth="1"/>
    <col min="4108" max="4108" width="18.109375" style="847" customWidth="1"/>
    <col min="4109" max="4109" width="15.44140625" style="847" customWidth="1"/>
    <col min="4110" max="4110" width="10.44140625" style="847" customWidth="1"/>
    <col min="4111" max="4111" width="13.44140625" style="847" customWidth="1"/>
    <col min="4112" max="4112" width="17.109375" style="847" customWidth="1"/>
    <col min="4113" max="4113" width="18.88671875" style="847" customWidth="1"/>
    <col min="4114" max="4353" width="9.109375" style="847"/>
    <col min="4354" max="4354" width="12.6640625" style="847" customWidth="1"/>
    <col min="4355" max="4355" width="18.44140625" style="847" customWidth="1"/>
    <col min="4356" max="4356" width="18.33203125" style="847" customWidth="1"/>
    <col min="4357" max="4357" width="20.5546875" style="847" customWidth="1"/>
    <col min="4358" max="4358" width="19.33203125" style="847" customWidth="1"/>
    <col min="4359" max="4359" width="22.109375" style="847" customWidth="1"/>
    <col min="4360" max="4360" width="11.33203125" style="847" customWidth="1"/>
    <col min="4361" max="4361" width="9.109375" style="847"/>
    <col min="4362" max="4362" width="11.6640625" style="847" customWidth="1"/>
    <col min="4363" max="4363" width="16.109375" style="847" customWidth="1"/>
    <col min="4364" max="4364" width="18.109375" style="847" customWidth="1"/>
    <col min="4365" max="4365" width="15.44140625" style="847" customWidth="1"/>
    <col min="4366" max="4366" width="10.44140625" style="847" customWidth="1"/>
    <col min="4367" max="4367" width="13.44140625" style="847" customWidth="1"/>
    <col min="4368" max="4368" width="17.109375" style="847" customWidth="1"/>
    <col min="4369" max="4369" width="18.88671875" style="847" customWidth="1"/>
    <col min="4370" max="4609" width="9.109375" style="847"/>
    <col min="4610" max="4610" width="12.6640625" style="847" customWidth="1"/>
    <col min="4611" max="4611" width="18.44140625" style="847" customWidth="1"/>
    <col min="4612" max="4612" width="18.33203125" style="847" customWidth="1"/>
    <col min="4613" max="4613" width="20.5546875" style="847" customWidth="1"/>
    <col min="4614" max="4614" width="19.33203125" style="847" customWidth="1"/>
    <col min="4615" max="4615" width="22.109375" style="847" customWidth="1"/>
    <col min="4616" max="4616" width="11.33203125" style="847" customWidth="1"/>
    <col min="4617" max="4617" width="9.109375" style="847"/>
    <col min="4618" max="4618" width="11.6640625" style="847" customWidth="1"/>
    <col min="4619" max="4619" width="16.109375" style="847" customWidth="1"/>
    <col min="4620" max="4620" width="18.109375" style="847" customWidth="1"/>
    <col min="4621" max="4621" width="15.44140625" style="847" customWidth="1"/>
    <col min="4622" max="4622" width="10.44140625" style="847" customWidth="1"/>
    <col min="4623" max="4623" width="13.44140625" style="847" customWidth="1"/>
    <col min="4624" max="4624" width="17.109375" style="847" customWidth="1"/>
    <col min="4625" max="4625" width="18.88671875" style="847" customWidth="1"/>
    <col min="4626" max="4865" width="9.109375" style="847"/>
    <col min="4866" max="4866" width="12.6640625" style="847" customWidth="1"/>
    <col min="4867" max="4867" width="18.44140625" style="847" customWidth="1"/>
    <col min="4868" max="4868" width="18.33203125" style="847" customWidth="1"/>
    <col min="4869" max="4869" width="20.5546875" style="847" customWidth="1"/>
    <col min="4870" max="4870" width="19.33203125" style="847" customWidth="1"/>
    <col min="4871" max="4871" width="22.109375" style="847" customWidth="1"/>
    <col min="4872" max="4872" width="11.33203125" style="847" customWidth="1"/>
    <col min="4873" max="4873" width="9.109375" style="847"/>
    <col min="4874" max="4874" width="11.6640625" style="847" customWidth="1"/>
    <col min="4875" max="4875" width="16.109375" style="847" customWidth="1"/>
    <col min="4876" max="4876" width="18.109375" style="847" customWidth="1"/>
    <col min="4877" max="4877" width="15.44140625" style="847" customWidth="1"/>
    <col min="4878" max="4878" width="10.44140625" style="847" customWidth="1"/>
    <col min="4879" max="4879" width="13.44140625" style="847" customWidth="1"/>
    <col min="4880" max="4880" width="17.109375" style="847" customWidth="1"/>
    <col min="4881" max="4881" width="18.88671875" style="847" customWidth="1"/>
    <col min="4882" max="5121" width="9.109375" style="847"/>
    <col min="5122" max="5122" width="12.6640625" style="847" customWidth="1"/>
    <col min="5123" max="5123" width="18.44140625" style="847" customWidth="1"/>
    <col min="5124" max="5124" width="18.33203125" style="847" customWidth="1"/>
    <col min="5125" max="5125" width="20.5546875" style="847" customWidth="1"/>
    <col min="5126" max="5126" width="19.33203125" style="847" customWidth="1"/>
    <col min="5127" max="5127" width="22.109375" style="847" customWidth="1"/>
    <col min="5128" max="5128" width="11.33203125" style="847" customWidth="1"/>
    <col min="5129" max="5129" width="9.109375" style="847"/>
    <col min="5130" max="5130" width="11.6640625" style="847" customWidth="1"/>
    <col min="5131" max="5131" width="16.109375" style="847" customWidth="1"/>
    <col min="5132" max="5132" width="18.109375" style="847" customWidth="1"/>
    <col min="5133" max="5133" width="15.44140625" style="847" customWidth="1"/>
    <col min="5134" max="5134" width="10.44140625" style="847" customWidth="1"/>
    <col min="5135" max="5135" width="13.44140625" style="847" customWidth="1"/>
    <col min="5136" max="5136" width="17.109375" style="847" customWidth="1"/>
    <col min="5137" max="5137" width="18.88671875" style="847" customWidth="1"/>
    <col min="5138" max="5377" width="9.109375" style="847"/>
    <col min="5378" max="5378" width="12.6640625" style="847" customWidth="1"/>
    <col min="5379" max="5379" width="18.44140625" style="847" customWidth="1"/>
    <col min="5380" max="5380" width="18.33203125" style="847" customWidth="1"/>
    <col min="5381" max="5381" width="20.5546875" style="847" customWidth="1"/>
    <col min="5382" max="5382" width="19.33203125" style="847" customWidth="1"/>
    <col min="5383" max="5383" width="22.109375" style="847" customWidth="1"/>
    <col min="5384" max="5384" width="11.33203125" style="847" customWidth="1"/>
    <col min="5385" max="5385" width="9.109375" style="847"/>
    <col min="5386" max="5386" width="11.6640625" style="847" customWidth="1"/>
    <col min="5387" max="5387" width="16.109375" style="847" customWidth="1"/>
    <col min="5388" max="5388" width="18.109375" style="847" customWidth="1"/>
    <col min="5389" max="5389" width="15.44140625" style="847" customWidth="1"/>
    <col min="5390" max="5390" width="10.44140625" style="847" customWidth="1"/>
    <col min="5391" max="5391" width="13.44140625" style="847" customWidth="1"/>
    <col min="5392" max="5392" width="17.109375" style="847" customWidth="1"/>
    <col min="5393" max="5393" width="18.88671875" style="847" customWidth="1"/>
    <col min="5394" max="5633" width="9.109375" style="847"/>
    <col min="5634" max="5634" width="12.6640625" style="847" customWidth="1"/>
    <col min="5635" max="5635" width="18.44140625" style="847" customWidth="1"/>
    <col min="5636" max="5636" width="18.33203125" style="847" customWidth="1"/>
    <col min="5637" max="5637" width="20.5546875" style="847" customWidth="1"/>
    <col min="5638" max="5638" width="19.33203125" style="847" customWidth="1"/>
    <col min="5639" max="5639" width="22.109375" style="847" customWidth="1"/>
    <col min="5640" max="5640" width="11.33203125" style="847" customWidth="1"/>
    <col min="5641" max="5641" width="9.109375" style="847"/>
    <col min="5642" max="5642" width="11.6640625" style="847" customWidth="1"/>
    <col min="5643" max="5643" width="16.109375" style="847" customWidth="1"/>
    <col min="5644" max="5644" width="18.109375" style="847" customWidth="1"/>
    <col min="5645" max="5645" width="15.44140625" style="847" customWidth="1"/>
    <col min="5646" max="5646" width="10.44140625" style="847" customWidth="1"/>
    <col min="5647" max="5647" width="13.44140625" style="847" customWidth="1"/>
    <col min="5648" max="5648" width="17.109375" style="847" customWidth="1"/>
    <col min="5649" max="5649" width="18.88671875" style="847" customWidth="1"/>
    <col min="5650" max="5889" width="9.109375" style="847"/>
    <col min="5890" max="5890" width="12.6640625" style="847" customWidth="1"/>
    <col min="5891" max="5891" width="18.44140625" style="847" customWidth="1"/>
    <col min="5892" max="5892" width="18.33203125" style="847" customWidth="1"/>
    <col min="5893" max="5893" width="20.5546875" style="847" customWidth="1"/>
    <col min="5894" max="5894" width="19.33203125" style="847" customWidth="1"/>
    <col min="5895" max="5895" width="22.109375" style="847" customWidth="1"/>
    <col min="5896" max="5896" width="11.33203125" style="847" customWidth="1"/>
    <col min="5897" max="5897" width="9.109375" style="847"/>
    <col min="5898" max="5898" width="11.6640625" style="847" customWidth="1"/>
    <col min="5899" max="5899" width="16.109375" style="847" customWidth="1"/>
    <col min="5900" max="5900" width="18.109375" style="847" customWidth="1"/>
    <col min="5901" max="5901" width="15.44140625" style="847" customWidth="1"/>
    <col min="5902" max="5902" width="10.44140625" style="847" customWidth="1"/>
    <col min="5903" max="5903" width="13.44140625" style="847" customWidth="1"/>
    <col min="5904" max="5904" width="17.109375" style="847" customWidth="1"/>
    <col min="5905" max="5905" width="18.88671875" style="847" customWidth="1"/>
    <col min="5906" max="6145" width="9.109375" style="847"/>
    <col min="6146" max="6146" width="12.6640625" style="847" customWidth="1"/>
    <col min="6147" max="6147" width="18.44140625" style="847" customWidth="1"/>
    <col min="6148" max="6148" width="18.33203125" style="847" customWidth="1"/>
    <col min="6149" max="6149" width="20.5546875" style="847" customWidth="1"/>
    <col min="6150" max="6150" width="19.33203125" style="847" customWidth="1"/>
    <col min="6151" max="6151" width="22.109375" style="847" customWidth="1"/>
    <col min="6152" max="6152" width="11.33203125" style="847" customWidth="1"/>
    <col min="6153" max="6153" width="9.109375" style="847"/>
    <col min="6154" max="6154" width="11.6640625" style="847" customWidth="1"/>
    <col min="6155" max="6155" width="16.109375" style="847" customWidth="1"/>
    <col min="6156" max="6156" width="18.109375" style="847" customWidth="1"/>
    <col min="6157" max="6157" width="15.44140625" style="847" customWidth="1"/>
    <col min="6158" max="6158" width="10.44140625" style="847" customWidth="1"/>
    <col min="6159" max="6159" width="13.44140625" style="847" customWidth="1"/>
    <col min="6160" max="6160" width="17.109375" style="847" customWidth="1"/>
    <col min="6161" max="6161" width="18.88671875" style="847" customWidth="1"/>
    <col min="6162" max="6401" width="9.109375" style="847"/>
    <col min="6402" max="6402" width="12.6640625" style="847" customWidth="1"/>
    <col min="6403" max="6403" width="18.44140625" style="847" customWidth="1"/>
    <col min="6404" max="6404" width="18.33203125" style="847" customWidth="1"/>
    <col min="6405" max="6405" width="20.5546875" style="847" customWidth="1"/>
    <col min="6406" max="6406" width="19.33203125" style="847" customWidth="1"/>
    <col min="6407" max="6407" width="22.109375" style="847" customWidth="1"/>
    <col min="6408" max="6408" width="11.33203125" style="847" customWidth="1"/>
    <col min="6409" max="6409" width="9.109375" style="847"/>
    <col min="6410" max="6410" width="11.6640625" style="847" customWidth="1"/>
    <col min="6411" max="6411" width="16.109375" style="847" customWidth="1"/>
    <col min="6412" max="6412" width="18.109375" style="847" customWidth="1"/>
    <col min="6413" max="6413" width="15.44140625" style="847" customWidth="1"/>
    <col min="6414" max="6414" width="10.44140625" style="847" customWidth="1"/>
    <col min="6415" max="6415" width="13.44140625" style="847" customWidth="1"/>
    <col min="6416" max="6416" width="17.109375" style="847" customWidth="1"/>
    <col min="6417" max="6417" width="18.88671875" style="847" customWidth="1"/>
    <col min="6418" max="6657" width="9.109375" style="847"/>
    <col min="6658" max="6658" width="12.6640625" style="847" customWidth="1"/>
    <col min="6659" max="6659" width="18.44140625" style="847" customWidth="1"/>
    <col min="6660" max="6660" width="18.33203125" style="847" customWidth="1"/>
    <col min="6661" max="6661" width="20.5546875" style="847" customWidth="1"/>
    <col min="6662" max="6662" width="19.33203125" style="847" customWidth="1"/>
    <col min="6663" max="6663" width="22.109375" style="847" customWidth="1"/>
    <col min="6664" max="6664" width="11.33203125" style="847" customWidth="1"/>
    <col min="6665" max="6665" width="9.109375" style="847"/>
    <col min="6666" max="6666" width="11.6640625" style="847" customWidth="1"/>
    <col min="6667" max="6667" width="16.109375" style="847" customWidth="1"/>
    <col min="6668" max="6668" width="18.109375" style="847" customWidth="1"/>
    <col min="6669" max="6669" width="15.44140625" style="847" customWidth="1"/>
    <col min="6670" max="6670" width="10.44140625" style="847" customWidth="1"/>
    <col min="6671" max="6671" width="13.44140625" style="847" customWidth="1"/>
    <col min="6672" max="6672" width="17.109375" style="847" customWidth="1"/>
    <col min="6673" max="6673" width="18.88671875" style="847" customWidth="1"/>
    <col min="6674" max="6913" width="9.109375" style="847"/>
    <col min="6914" max="6914" width="12.6640625" style="847" customWidth="1"/>
    <col min="6915" max="6915" width="18.44140625" style="847" customWidth="1"/>
    <col min="6916" max="6916" width="18.33203125" style="847" customWidth="1"/>
    <col min="6917" max="6917" width="20.5546875" style="847" customWidth="1"/>
    <col min="6918" max="6918" width="19.33203125" style="847" customWidth="1"/>
    <col min="6919" max="6919" width="22.109375" style="847" customWidth="1"/>
    <col min="6920" max="6920" width="11.33203125" style="847" customWidth="1"/>
    <col min="6921" max="6921" width="9.109375" style="847"/>
    <col min="6922" max="6922" width="11.6640625" style="847" customWidth="1"/>
    <col min="6923" max="6923" width="16.109375" style="847" customWidth="1"/>
    <col min="6924" max="6924" width="18.109375" style="847" customWidth="1"/>
    <col min="6925" max="6925" width="15.44140625" style="847" customWidth="1"/>
    <col min="6926" max="6926" width="10.44140625" style="847" customWidth="1"/>
    <col min="6927" max="6927" width="13.44140625" style="847" customWidth="1"/>
    <col min="6928" max="6928" width="17.109375" style="847" customWidth="1"/>
    <col min="6929" max="6929" width="18.88671875" style="847" customWidth="1"/>
    <col min="6930" max="7169" width="9.109375" style="847"/>
    <col min="7170" max="7170" width="12.6640625" style="847" customWidth="1"/>
    <col min="7171" max="7171" width="18.44140625" style="847" customWidth="1"/>
    <col min="7172" max="7172" width="18.33203125" style="847" customWidth="1"/>
    <col min="7173" max="7173" width="20.5546875" style="847" customWidth="1"/>
    <col min="7174" max="7174" width="19.33203125" style="847" customWidth="1"/>
    <col min="7175" max="7175" width="22.109375" style="847" customWidth="1"/>
    <col min="7176" max="7176" width="11.33203125" style="847" customWidth="1"/>
    <col min="7177" max="7177" width="9.109375" style="847"/>
    <col min="7178" max="7178" width="11.6640625" style="847" customWidth="1"/>
    <col min="7179" max="7179" width="16.109375" style="847" customWidth="1"/>
    <col min="7180" max="7180" width="18.109375" style="847" customWidth="1"/>
    <col min="7181" max="7181" width="15.44140625" style="847" customWidth="1"/>
    <col min="7182" max="7182" width="10.44140625" style="847" customWidth="1"/>
    <col min="7183" max="7183" width="13.44140625" style="847" customWidth="1"/>
    <col min="7184" max="7184" width="17.109375" style="847" customWidth="1"/>
    <col min="7185" max="7185" width="18.88671875" style="847" customWidth="1"/>
    <col min="7186" max="7425" width="9.109375" style="847"/>
    <col min="7426" max="7426" width="12.6640625" style="847" customWidth="1"/>
    <col min="7427" max="7427" width="18.44140625" style="847" customWidth="1"/>
    <col min="7428" max="7428" width="18.33203125" style="847" customWidth="1"/>
    <col min="7429" max="7429" width="20.5546875" style="847" customWidth="1"/>
    <col min="7430" max="7430" width="19.33203125" style="847" customWidth="1"/>
    <col min="7431" max="7431" width="22.109375" style="847" customWidth="1"/>
    <col min="7432" max="7432" width="11.33203125" style="847" customWidth="1"/>
    <col min="7433" max="7433" width="9.109375" style="847"/>
    <col min="7434" max="7434" width="11.6640625" style="847" customWidth="1"/>
    <col min="7435" max="7435" width="16.109375" style="847" customWidth="1"/>
    <col min="7436" max="7436" width="18.109375" style="847" customWidth="1"/>
    <col min="7437" max="7437" width="15.44140625" style="847" customWidth="1"/>
    <col min="7438" max="7438" width="10.44140625" style="847" customWidth="1"/>
    <col min="7439" max="7439" width="13.44140625" style="847" customWidth="1"/>
    <col min="7440" max="7440" width="17.109375" style="847" customWidth="1"/>
    <col min="7441" max="7441" width="18.88671875" style="847" customWidth="1"/>
    <col min="7442" max="7681" width="9.109375" style="847"/>
    <col min="7682" max="7682" width="12.6640625" style="847" customWidth="1"/>
    <col min="7683" max="7683" width="18.44140625" style="847" customWidth="1"/>
    <col min="7684" max="7684" width="18.33203125" style="847" customWidth="1"/>
    <col min="7685" max="7685" width="20.5546875" style="847" customWidth="1"/>
    <col min="7686" max="7686" width="19.33203125" style="847" customWidth="1"/>
    <col min="7687" max="7687" width="22.109375" style="847" customWidth="1"/>
    <col min="7688" max="7688" width="11.33203125" style="847" customWidth="1"/>
    <col min="7689" max="7689" width="9.109375" style="847"/>
    <col min="7690" max="7690" width="11.6640625" style="847" customWidth="1"/>
    <col min="7691" max="7691" width="16.109375" style="847" customWidth="1"/>
    <col min="7692" max="7692" width="18.109375" style="847" customWidth="1"/>
    <col min="7693" max="7693" width="15.44140625" style="847" customWidth="1"/>
    <col min="7694" max="7694" width="10.44140625" style="847" customWidth="1"/>
    <col min="7695" max="7695" width="13.44140625" style="847" customWidth="1"/>
    <col min="7696" max="7696" width="17.109375" style="847" customWidth="1"/>
    <col min="7697" max="7697" width="18.88671875" style="847" customWidth="1"/>
    <col min="7698" max="7937" width="9.109375" style="847"/>
    <col min="7938" max="7938" width="12.6640625" style="847" customWidth="1"/>
    <col min="7939" max="7939" width="18.44140625" style="847" customWidth="1"/>
    <col min="7940" max="7940" width="18.33203125" style="847" customWidth="1"/>
    <col min="7941" max="7941" width="20.5546875" style="847" customWidth="1"/>
    <col min="7942" max="7942" width="19.33203125" style="847" customWidth="1"/>
    <col min="7943" max="7943" width="22.109375" style="847" customWidth="1"/>
    <col min="7944" max="7944" width="11.33203125" style="847" customWidth="1"/>
    <col min="7945" max="7945" width="9.109375" style="847"/>
    <col min="7946" max="7946" width="11.6640625" style="847" customWidth="1"/>
    <col min="7947" max="7947" width="16.109375" style="847" customWidth="1"/>
    <col min="7948" max="7948" width="18.109375" style="847" customWidth="1"/>
    <col min="7949" max="7949" width="15.44140625" style="847" customWidth="1"/>
    <col min="7950" max="7950" width="10.44140625" style="847" customWidth="1"/>
    <col min="7951" max="7951" width="13.44140625" style="847" customWidth="1"/>
    <col min="7952" max="7952" width="17.109375" style="847" customWidth="1"/>
    <col min="7953" max="7953" width="18.88671875" style="847" customWidth="1"/>
    <col min="7954" max="8193" width="9.109375" style="847"/>
    <col min="8194" max="8194" width="12.6640625" style="847" customWidth="1"/>
    <col min="8195" max="8195" width="18.44140625" style="847" customWidth="1"/>
    <col min="8196" max="8196" width="18.33203125" style="847" customWidth="1"/>
    <col min="8197" max="8197" width="20.5546875" style="847" customWidth="1"/>
    <col min="8198" max="8198" width="19.33203125" style="847" customWidth="1"/>
    <col min="8199" max="8199" width="22.109375" style="847" customWidth="1"/>
    <col min="8200" max="8200" width="11.33203125" style="847" customWidth="1"/>
    <col min="8201" max="8201" width="9.109375" style="847"/>
    <col min="8202" max="8202" width="11.6640625" style="847" customWidth="1"/>
    <col min="8203" max="8203" width="16.109375" style="847" customWidth="1"/>
    <col min="8204" max="8204" width="18.109375" style="847" customWidth="1"/>
    <col min="8205" max="8205" width="15.44140625" style="847" customWidth="1"/>
    <col min="8206" max="8206" width="10.44140625" style="847" customWidth="1"/>
    <col min="8207" max="8207" width="13.44140625" style="847" customWidth="1"/>
    <col min="8208" max="8208" width="17.109375" style="847" customWidth="1"/>
    <col min="8209" max="8209" width="18.88671875" style="847" customWidth="1"/>
    <col min="8210" max="8449" width="9.109375" style="847"/>
    <col min="8450" max="8450" width="12.6640625" style="847" customWidth="1"/>
    <col min="8451" max="8451" width="18.44140625" style="847" customWidth="1"/>
    <col min="8452" max="8452" width="18.33203125" style="847" customWidth="1"/>
    <col min="8453" max="8453" width="20.5546875" style="847" customWidth="1"/>
    <col min="8454" max="8454" width="19.33203125" style="847" customWidth="1"/>
    <col min="8455" max="8455" width="22.109375" style="847" customWidth="1"/>
    <col min="8456" max="8456" width="11.33203125" style="847" customWidth="1"/>
    <col min="8457" max="8457" width="9.109375" style="847"/>
    <col min="8458" max="8458" width="11.6640625" style="847" customWidth="1"/>
    <col min="8459" max="8459" width="16.109375" style="847" customWidth="1"/>
    <col min="8460" max="8460" width="18.109375" style="847" customWidth="1"/>
    <col min="8461" max="8461" width="15.44140625" style="847" customWidth="1"/>
    <col min="8462" max="8462" width="10.44140625" style="847" customWidth="1"/>
    <col min="8463" max="8463" width="13.44140625" style="847" customWidth="1"/>
    <col min="8464" max="8464" width="17.109375" style="847" customWidth="1"/>
    <col min="8465" max="8465" width="18.88671875" style="847" customWidth="1"/>
    <col min="8466" max="8705" width="9.109375" style="847"/>
    <col min="8706" max="8706" width="12.6640625" style="847" customWidth="1"/>
    <col min="8707" max="8707" width="18.44140625" style="847" customWidth="1"/>
    <col min="8708" max="8708" width="18.33203125" style="847" customWidth="1"/>
    <col min="8709" max="8709" width="20.5546875" style="847" customWidth="1"/>
    <col min="8710" max="8710" width="19.33203125" style="847" customWidth="1"/>
    <col min="8711" max="8711" width="22.109375" style="847" customWidth="1"/>
    <col min="8712" max="8712" width="11.33203125" style="847" customWidth="1"/>
    <col min="8713" max="8713" width="9.109375" style="847"/>
    <col min="8714" max="8714" width="11.6640625" style="847" customWidth="1"/>
    <col min="8715" max="8715" width="16.109375" style="847" customWidth="1"/>
    <col min="8716" max="8716" width="18.109375" style="847" customWidth="1"/>
    <col min="8717" max="8717" width="15.44140625" style="847" customWidth="1"/>
    <col min="8718" max="8718" width="10.44140625" style="847" customWidth="1"/>
    <col min="8719" max="8719" width="13.44140625" style="847" customWidth="1"/>
    <col min="8720" max="8720" width="17.109375" style="847" customWidth="1"/>
    <col min="8721" max="8721" width="18.88671875" style="847" customWidth="1"/>
    <col min="8722" max="8961" width="9.109375" style="847"/>
    <col min="8962" max="8962" width="12.6640625" style="847" customWidth="1"/>
    <col min="8963" max="8963" width="18.44140625" style="847" customWidth="1"/>
    <col min="8964" max="8964" width="18.33203125" style="847" customWidth="1"/>
    <col min="8965" max="8965" width="20.5546875" style="847" customWidth="1"/>
    <col min="8966" max="8966" width="19.33203125" style="847" customWidth="1"/>
    <col min="8967" max="8967" width="22.109375" style="847" customWidth="1"/>
    <col min="8968" max="8968" width="11.33203125" style="847" customWidth="1"/>
    <col min="8969" max="8969" width="9.109375" style="847"/>
    <col min="8970" max="8970" width="11.6640625" style="847" customWidth="1"/>
    <col min="8971" max="8971" width="16.109375" style="847" customWidth="1"/>
    <col min="8972" max="8972" width="18.109375" style="847" customWidth="1"/>
    <col min="8973" max="8973" width="15.44140625" style="847" customWidth="1"/>
    <col min="8974" max="8974" width="10.44140625" style="847" customWidth="1"/>
    <col min="8975" max="8975" width="13.44140625" style="847" customWidth="1"/>
    <col min="8976" max="8976" width="17.109375" style="847" customWidth="1"/>
    <col min="8977" max="8977" width="18.88671875" style="847" customWidth="1"/>
    <col min="8978" max="9217" width="9.109375" style="847"/>
    <col min="9218" max="9218" width="12.6640625" style="847" customWidth="1"/>
    <col min="9219" max="9219" width="18.44140625" style="847" customWidth="1"/>
    <col min="9220" max="9220" width="18.33203125" style="847" customWidth="1"/>
    <col min="9221" max="9221" width="20.5546875" style="847" customWidth="1"/>
    <col min="9222" max="9222" width="19.33203125" style="847" customWidth="1"/>
    <col min="9223" max="9223" width="22.109375" style="847" customWidth="1"/>
    <col min="9224" max="9224" width="11.33203125" style="847" customWidth="1"/>
    <col min="9225" max="9225" width="9.109375" style="847"/>
    <col min="9226" max="9226" width="11.6640625" style="847" customWidth="1"/>
    <col min="9227" max="9227" width="16.109375" style="847" customWidth="1"/>
    <col min="9228" max="9228" width="18.109375" style="847" customWidth="1"/>
    <col min="9229" max="9229" width="15.44140625" style="847" customWidth="1"/>
    <col min="9230" max="9230" width="10.44140625" style="847" customWidth="1"/>
    <col min="9231" max="9231" width="13.44140625" style="847" customWidth="1"/>
    <col min="9232" max="9232" width="17.109375" style="847" customWidth="1"/>
    <col min="9233" max="9233" width="18.88671875" style="847" customWidth="1"/>
    <col min="9234" max="9473" width="9.109375" style="847"/>
    <col min="9474" max="9474" width="12.6640625" style="847" customWidth="1"/>
    <col min="9475" max="9475" width="18.44140625" style="847" customWidth="1"/>
    <col min="9476" max="9476" width="18.33203125" style="847" customWidth="1"/>
    <col min="9477" max="9477" width="20.5546875" style="847" customWidth="1"/>
    <col min="9478" max="9478" width="19.33203125" style="847" customWidth="1"/>
    <col min="9479" max="9479" width="22.109375" style="847" customWidth="1"/>
    <col min="9480" max="9480" width="11.33203125" style="847" customWidth="1"/>
    <col min="9481" max="9481" width="9.109375" style="847"/>
    <col min="9482" max="9482" width="11.6640625" style="847" customWidth="1"/>
    <col min="9483" max="9483" width="16.109375" style="847" customWidth="1"/>
    <col min="9484" max="9484" width="18.109375" style="847" customWidth="1"/>
    <col min="9485" max="9485" width="15.44140625" style="847" customWidth="1"/>
    <col min="9486" max="9486" width="10.44140625" style="847" customWidth="1"/>
    <col min="9487" max="9487" width="13.44140625" style="847" customWidth="1"/>
    <col min="9488" max="9488" width="17.109375" style="847" customWidth="1"/>
    <col min="9489" max="9489" width="18.88671875" style="847" customWidth="1"/>
    <col min="9490" max="9729" width="9.109375" style="847"/>
    <col min="9730" max="9730" width="12.6640625" style="847" customWidth="1"/>
    <col min="9731" max="9731" width="18.44140625" style="847" customWidth="1"/>
    <col min="9732" max="9732" width="18.33203125" style="847" customWidth="1"/>
    <col min="9733" max="9733" width="20.5546875" style="847" customWidth="1"/>
    <col min="9734" max="9734" width="19.33203125" style="847" customWidth="1"/>
    <col min="9735" max="9735" width="22.109375" style="847" customWidth="1"/>
    <col min="9736" max="9736" width="11.33203125" style="847" customWidth="1"/>
    <col min="9737" max="9737" width="9.109375" style="847"/>
    <col min="9738" max="9738" width="11.6640625" style="847" customWidth="1"/>
    <col min="9739" max="9739" width="16.109375" style="847" customWidth="1"/>
    <col min="9740" max="9740" width="18.109375" style="847" customWidth="1"/>
    <col min="9741" max="9741" width="15.44140625" style="847" customWidth="1"/>
    <col min="9742" max="9742" width="10.44140625" style="847" customWidth="1"/>
    <col min="9743" max="9743" width="13.44140625" style="847" customWidth="1"/>
    <col min="9744" max="9744" width="17.109375" style="847" customWidth="1"/>
    <col min="9745" max="9745" width="18.88671875" style="847" customWidth="1"/>
    <col min="9746" max="9985" width="9.109375" style="847"/>
    <col min="9986" max="9986" width="12.6640625" style="847" customWidth="1"/>
    <col min="9987" max="9987" width="18.44140625" style="847" customWidth="1"/>
    <col min="9988" max="9988" width="18.33203125" style="847" customWidth="1"/>
    <col min="9989" max="9989" width="20.5546875" style="847" customWidth="1"/>
    <col min="9990" max="9990" width="19.33203125" style="847" customWidth="1"/>
    <col min="9991" max="9991" width="22.109375" style="847" customWidth="1"/>
    <col min="9992" max="9992" width="11.33203125" style="847" customWidth="1"/>
    <col min="9993" max="9993" width="9.109375" style="847"/>
    <col min="9994" max="9994" width="11.6640625" style="847" customWidth="1"/>
    <col min="9995" max="9995" width="16.109375" style="847" customWidth="1"/>
    <col min="9996" max="9996" width="18.109375" style="847" customWidth="1"/>
    <col min="9997" max="9997" width="15.44140625" style="847" customWidth="1"/>
    <col min="9998" max="9998" width="10.44140625" style="847" customWidth="1"/>
    <col min="9999" max="9999" width="13.44140625" style="847" customWidth="1"/>
    <col min="10000" max="10000" width="17.109375" style="847" customWidth="1"/>
    <col min="10001" max="10001" width="18.88671875" style="847" customWidth="1"/>
    <col min="10002" max="10241" width="9.109375" style="847"/>
    <col min="10242" max="10242" width="12.6640625" style="847" customWidth="1"/>
    <col min="10243" max="10243" width="18.44140625" style="847" customWidth="1"/>
    <col min="10244" max="10244" width="18.33203125" style="847" customWidth="1"/>
    <col min="10245" max="10245" width="20.5546875" style="847" customWidth="1"/>
    <col min="10246" max="10246" width="19.33203125" style="847" customWidth="1"/>
    <col min="10247" max="10247" width="22.109375" style="847" customWidth="1"/>
    <col min="10248" max="10248" width="11.33203125" style="847" customWidth="1"/>
    <col min="10249" max="10249" width="9.109375" style="847"/>
    <col min="10250" max="10250" width="11.6640625" style="847" customWidth="1"/>
    <col min="10251" max="10251" width="16.109375" style="847" customWidth="1"/>
    <col min="10252" max="10252" width="18.109375" style="847" customWidth="1"/>
    <col min="10253" max="10253" width="15.44140625" style="847" customWidth="1"/>
    <col min="10254" max="10254" width="10.44140625" style="847" customWidth="1"/>
    <col min="10255" max="10255" width="13.44140625" style="847" customWidth="1"/>
    <col min="10256" max="10256" width="17.109375" style="847" customWidth="1"/>
    <col min="10257" max="10257" width="18.88671875" style="847" customWidth="1"/>
    <col min="10258" max="10497" width="9.109375" style="847"/>
    <col min="10498" max="10498" width="12.6640625" style="847" customWidth="1"/>
    <col min="10499" max="10499" width="18.44140625" style="847" customWidth="1"/>
    <col min="10500" max="10500" width="18.33203125" style="847" customWidth="1"/>
    <col min="10501" max="10501" width="20.5546875" style="847" customWidth="1"/>
    <col min="10502" max="10502" width="19.33203125" style="847" customWidth="1"/>
    <col min="10503" max="10503" width="22.109375" style="847" customWidth="1"/>
    <col min="10504" max="10504" width="11.33203125" style="847" customWidth="1"/>
    <col min="10505" max="10505" width="9.109375" style="847"/>
    <col min="10506" max="10506" width="11.6640625" style="847" customWidth="1"/>
    <col min="10507" max="10507" width="16.109375" style="847" customWidth="1"/>
    <col min="10508" max="10508" width="18.109375" style="847" customWidth="1"/>
    <col min="10509" max="10509" width="15.44140625" style="847" customWidth="1"/>
    <col min="10510" max="10510" width="10.44140625" style="847" customWidth="1"/>
    <col min="10511" max="10511" width="13.44140625" style="847" customWidth="1"/>
    <col min="10512" max="10512" width="17.109375" style="847" customWidth="1"/>
    <col min="10513" max="10513" width="18.88671875" style="847" customWidth="1"/>
    <col min="10514" max="10753" width="9.109375" style="847"/>
    <col min="10754" max="10754" width="12.6640625" style="847" customWidth="1"/>
    <col min="10755" max="10755" width="18.44140625" style="847" customWidth="1"/>
    <col min="10756" max="10756" width="18.33203125" style="847" customWidth="1"/>
    <col min="10757" max="10757" width="20.5546875" style="847" customWidth="1"/>
    <col min="10758" max="10758" width="19.33203125" style="847" customWidth="1"/>
    <col min="10759" max="10759" width="22.109375" style="847" customWidth="1"/>
    <col min="10760" max="10760" width="11.33203125" style="847" customWidth="1"/>
    <col min="10761" max="10761" width="9.109375" style="847"/>
    <col min="10762" max="10762" width="11.6640625" style="847" customWidth="1"/>
    <col min="10763" max="10763" width="16.109375" style="847" customWidth="1"/>
    <col min="10764" max="10764" width="18.109375" style="847" customWidth="1"/>
    <col min="10765" max="10765" width="15.44140625" style="847" customWidth="1"/>
    <col min="10766" max="10766" width="10.44140625" style="847" customWidth="1"/>
    <col min="10767" max="10767" width="13.44140625" style="847" customWidth="1"/>
    <col min="10768" max="10768" width="17.109375" style="847" customWidth="1"/>
    <col min="10769" max="10769" width="18.88671875" style="847" customWidth="1"/>
    <col min="10770" max="11009" width="9.109375" style="847"/>
    <col min="11010" max="11010" width="12.6640625" style="847" customWidth="1"/>
    <col min="11011" max="11011" width="18.44140625" style="847" customWidth="1"/>
    <col min="11012" max="11012" width="18.33203125" style="847" customWidth="1"/>
    <col min="11013" max="11013" width="20.5546875" style="847" customWidth="1"/>
    <col min="11014" max="11014" width="19.33203125" style="847" customWidth="1"/>
    <col min="11015" max="11015" width="22.109375" style="847" customWidth="1"/>
    <col min="11016" max="11016" width="11.33203125" style="847" customWidth="1"/>
    <col min="11017" max="11017" width="9.109375" style="847"/>
    <col min="11018" max="11018" width="11.6640625" style="847" customWidth="1"/>
    <col min="11019" max="11019" width="16.109375" style="847" customWidth="1"/>
    <col min="11020" max="11020" width="18.109375" style="847" customWidth="1"/>
    <col min="11021" max="11021" width="15.44140625" style="847" customWidth="1"/>
    <col min="11022" max="11022" width="10.44140625" style="847" customWidth="1"/>
    <col min="11023" max="11023" width="13.44140625" style="847" customWidth="1"/>
    <col min="11024" max="11024" width="17.109375" style="847" customWidth="1"/>
    <col min="11025" max="11025" width="18.88671875" style="847" customWidth="1"/>
    <col min="11026" max="11265" width="9.109375" style="847"/>
    <col min="11266" max="11266" width="12.6640625" style="847" customWidth="1"/>
    <col min="11267" max="11267" width="18.44140625" style="847" customWidth="1"/>
    <col min="11268" max="11268" width="18.33203125" style="847" customWidth="1"/>
    <col min="11269" max="11269" width="20.5546875" style="847" customWidth="1"/>
    <col min="11270" max="11270" width="19.33203125" style="847" customWidth="1"/>
    <col min="11271" max="11271" width="22.109375" style="847" customWidth="1"/>
    <col min="11272" max="11272" width="11.33203125" style="847" customWidth="1"/>
    <col min="11273" max="11273" width="9.109375" style="847"/>
    <col min="11274" max="11274" width="11.6640625" style="847" customWidth="1"/>
    <col min="11275" max="11275" width="16.109375" style="847" customWidth="1"/>
    <col min="11276" max="11276" width="18.109375" style="847" customWidth="1"/>
    <col min="11277" max="11277" width="15.44140625" style="847" customWidth="1"/>
    <col min="11278" max="11278" width="10.44140625" style="847" customWidth="1"/>
    <col min="11279" max="11279" width="13.44140625" style="847" customWidth="1"/>
    <col min="11280" max="11280" width="17.109375" style="847" customWidth="1"/>
    <col min="11281" max="11281" width="18.88671875" style="847" customWidth="1"/>
    <col min="11282" max="11521" width="9.109375" style="847"/>
    <col min="11522" max="11522" width="12.6640625" style="847" customWidth="1"/>
    <col min="11523" max="11523" width="18.44140625" style="847" customWidth="1"/>
    <col min="11524" max="11524" width="18.33203125" style="847" customWidth="1"/>
    <col min="11525" max="11525" width="20.5546875" style="847" customWidth="1"/>
    <col min="11526" max="11526" width="19.33203125" style="847" customWidth="1"/>
    <col min="11527" max="11527" width="22.109375" style="847" customWidth="1"/>
    <col min="11528" max="11528" width="11.33203125" style="847" customWidth="1"/>
    <col min="11529" max="11529" width="9.109375" style="847"/>
    <col min="11530" max="11530" width="11.6640625" style="847" customWidth="1"/>
    <col min="11531" max="11531" width="16.109375" style="847" customWidth="1"/>
    <col min="11532" max="11532" width="18.109375" style="847" customWidth="1"/>
    <col min="11533" max="11533" width="15.44140625" style="847" customWidth="1"/>
    <col min="11534" max="11534" width="10.44140625" style="847" customWidth="1"/>
    <col min="11535" max="11535" width="13.44140625" style="847" customWidth="1"/>
    <col min="11536" max="11536" width="17.109375" style="847" customWidth="1"/>
    <col min="11537" max="11537" width="18.88671875" style="847" customWidth="1"/>
    <col min="11538" max="11777" width="9.109375" style="847"/>
    <col min="11778" max="11778" width="12.6640625" style="847" customWidth="1"/>
    <col min="11779" max="11779" width="18.44140625" style="847" customWidth="1"/>
    <col min="11780" max="11780" width="18.33203125" style="847" customWidth="1"/>
    <col min="11781" max="11781" width="20.5546875" style="847" customWidth="1"/>
    <col min="11782" max="11782" width="19.33203125" style="847" customWidth="1"/>
    <col min="11783" max="11783" width="22.109375" style="847" customWidth="1"/>
    <col min="11784" max="11784" width="11.33203125" style="847" customWidth="1"/>
    <col min="11785" max="11785" width="9.109375" style="847"/>
    <col min="11786" max="11786" width="11.6640625" style="847" customWidth="1"/>
    <col min="11787" max="11787" width="16.109375" style="847" customWidth="1"/>
    <col min="11788" max="11788" width="18.109375" style="847" customWidth="1"/>
    <col min="11789" max="11789" width="15.44140625" style="847" customWidth="1"/>
    <col min="11790" max="11790" width="10.44140625" style="847" customWidth="1"/>
    <col min="11791" max="11791" width="13.44140625" style="847" customWidth="1"/>
    <col min="11792" max="11792" width="17.109375" style="847" customWidth="1"/>
    <col min="11793" max="11793" width="18.88671875" style="847" customWidth="1"/>
    <col min="11794" max="12033" width="9.109375" style="847"/>
    <col min="12034" max="12034" width="12.6640625" style="847" customWidth="1"/>
    <col min="12035" max="12035" width="18.44140625" style="847" customWidth="1"/>
    <col min="12036" max="12036" width="18.33203125" style="847" customWidth="1"/>
    <col min="12037" max="12037" width="20.5546875" style="847" customWidth="1"/>
    <col min="12038" max="12038" width="19.33203125" style="847" customWidth="1"/>
    <col min="12039" max="12039" width="22.109375" style="847" customWidth="1"/>
    <col min="12040" max="12040" width="11.33203125" style="847" customWidth="1"/>
    <col min="12041" max="12041" width="9.109375" style="847"/>
    <col min="12042" max="12042" width="11.6640625" style="847" customWidth="1"/>
    <col min="12043" max="12043" width="16.109375" style="847" customWidth="1"/>
    <col min="12044" max="12044" width="18.109375" style="847" customWidth="1"/>
    <col min="12045" max="12045" width="15.44140625" style="847" customWidth="1"/>
    <col min="12046" max="12046" width="10.44140625" style="847" customWidth="1"/>
    <col min="12047" max="12047" width="13.44140625" style="847" customWidth="1"/>
    <col min="12048" max="12048" width="17.109375" style="847" customWidth="1"/>
    <col min="12049" max="12049" width="18.88671875" style="847" customWidth="1"/>
    <col min="12050" max="12289" width="9.109375" style="847"/>
    <col min="12290" max="12290" width="12.6640625" style="847" customWidth="1"/>
    <col min="12291" max="12291" width="18.44140625" style="847" customWidth="1"/>
    <col min="12292" max="12292" width="18.33203125" style="847" customWidth="1"/>
    <col min="12293" max="12293" width="20.5546875" style="847" customWidth="1"/>
    <col min="12294" max="12294" width="19.33203125" style="847" customWidth="1"/>
    <col min="12295" max="12295" width="22.109375" style="847" customWidth="1"/>
    <col min="12296" max="12296" width="11.33203125" style="847" customWidth="1"/>
    <col min="12297" max="12297" width="9.109375" style="847"/>
    <col min="12298" max="12298" width="11.6640625" style="847" customWidth="1"/>
    <col min="12299" max="12299" width="16.109375" style="847" customWidth="1"/>
    <col min="12300" max="12300" width="18.109375" style="847" customWidth="1"/>
    <col min="12301" max="12301" width="15.44140625" style="847" customWidth="1"/>
    <col min="12302" max="12302" width="10.44140625" style="847" customWidth="1"/>
    <col min="12303" max="12303" width="13.44140625" style="847" customWidth="1"/>
    <col min="12304" max="12304" width="17.109375" style="847" customWidth="1"/>
    <col min="12305" max="12305" width="18.88671875" style="847" customWidth="1"/>
    <col min="12306" max="12545" width="9.109375" style="847"/>
    <col min="12546" max="12546" width="12.6640625" style="847" customWidth="1"/>
    <col min="12547" max="12547" width="18.44140625" style="847" customWidth="1"/>
    <col min="12548" max="12548" width="18.33203125" style="847" customWidth="1"/>
    <col min="12549" max="12549" width="20.5546875" style="847" customWidth="1"/>
    <col min="12550" max="12550" width="19.33203125" style="847" customWidth="1"/>
    <col min="12551" max="12551" width="22.109375" style="847" customWidth="1"/>
    <col min="12552" max="12552" width="11.33203125" style="847" customWidth="1"/>
    <col min="12553" max="12553" width="9.109375" style="847"/>
    <col min="12554" max="12554" width="11.6640625" style="847" customWidth="1"/>
    <col min="12555" max="12555" width="16.109375" style="847" customWidth="1"/>
    <col min="12556" max="12556" width="18.109375" style="847" customWidth="1"/>
    <col min="12557" max="12557" width="15.44140625" style="847" customWidth="1"/>
    <col min="12558" max="12558" width="10.44140625" style="847" customWidth="1"/>
    <col min="12559" max="12559" width="13.44140625" style="847" customWidth="1"/>
    <col min="12560" max="12560" width="17.109375" style="847" customWidth="1"/>
    <col min="12561" max="12561" width="18.88671875" style="847" customWidth="1"/>
    <col min="12562" max="12801" width="9.109375" style="847"/>
    <col min="12802" max="12802" width="12.6640625" style="847" customWidth="1"/>
    <col min="12803" max="12803" width="18.44140625" style="847" customWidth="1"/>
    <col min="12804" max="12804" width="18.33203125" style="847" customWidth="1"/>
    <col min="12805" max="12805" width="20.5546875" style="847" customWidth="1"/>
    <col min="12806" max="12806" width="19.33203125" style="847" customWidth="1"/>
    <col min="12807" max="12807" width="22.109375" style="847" customWidth="1"/>
    <col min="12808" max="12808" width="11.33203125" style="847" customWidth="1"/>
    <col min="12809" max="12809" width="9.109375" style="847"/>
    <col min="12810" max="12810" width="11.6640625" style="847" customWidth="1"/>
    <col min="12811" max="12811" width="16.109375" style="847" customWidth="1"/>
    <col min="12812" max="12812" width="18.109375" style="847" customWidth="1"/>
    <col min="12813" max="12813" width="15.44140625" style="847" customWidth="1"/>
    <col min="12814" max="12814" width="10.44140625" style="847" customWidth="1"/>
    <col min="12815" max="12815" width="13.44140625" style="847" customWidth="1"/>
    <col min="12816" max="12816" width="17.109375" style="847" customWidth="1"/>
    <col min="12817" max="12817" width="18.88671875" style="847" customWidth="1"/>
    <col min="12818" max="13057" width="9.109375" style="847"/>
    <col min="13058" max="13058" width="12.6640625" style="847" customWidth="1"/>
    <col min="13059" max="13059" width="18.44140625" style="847" customWidth="1"/>
    <col min="13060" max="13060" width="18.33203125" style="847" customWidth="1"/>
    <col min="13061" max="13061" width="20.5546875" style="847" customWidth="1"/>
    <col min="13062" max="13062" width="19.33203125" style="847" customWidth="1"/>
    <col min="13063" max="13063" width="22.109375" style="847" customWidth="1"/>
    <col min="13064" max="13064" width="11.33203125" style="847" customWidth="1"/>
    <col min="13065" max="13065" width="9.109375" style="847"/>
    <col min="13066" max="13066" width="11.6640625" style="847" customWidth="1"/>
    <col min="13067" max="13067" width="16.109375" style="847" customWidth="1"/>
    <col min="13068" max="13068" width="18.109375" style="847" customWidth="1"/>
    <col min="13069" max="13069" width="15.44140625" style="847" customWidth="1"/>
    <col min="13070" max="13070" width="10.44140625" style="847" customWidth="1"/>
    <col min="13071" max="13071" width="13.44140625" style="847" customWidth="1"/>
    <col min="13072" max="13072" width="17.109375" style="847" customWidth="1"/>
    <col min="13073" max="13073" width="18.88671875" style="847" customWidth="1"/>
    <col min="13074" max="13313" width="9.109375" style="847"/>
    <col min="13314" max="13314" width="12.6640625" style="847" customWidth="1"/>
    <col min="13315" max="13315" width="18.44140625" style="847" customWidth="1"/>
    <col min="13316" max="13316" width="18.33203125" style="847" customWidth="1"/>
    <col min="13317" max="13317" width="20.5546875" style="847" customWidth="1"/>
    <col min="13318" max="13318" width="19.33203125" style="847" customWidth="1"/>
    <col min="13319" max="13319" width="22.109375" style="847" customWidth="1"/>
    <col min="13320" max="13320" width="11.33203125" style="847" customWidth="1"/>
    <col min="13321" max="13321" width="9.109375" style="847"/>
    <col min="13322" max="13322" width="11.6640625" style="847" customWidth="1"/>
    <col min="13323" max="13323" width="16.109375" style="847" customWidth="1"/>
    <col min="13324" max="13324" width="18.109375" style="847" customWidth="1"/>
    <col min="13325" max="13325" width="15.44140625" style="847" customWidth="1"/>
    <col min="13326" max="13326" width="10.44140625" style="847" customWidth="1"/>
    <col min="13327" max="13327" width="13.44140625" style="847" customWidth="1"/>
    <col min="13328" max="13328" width="17.109375" style="847" customWidth="1"/>
    <col min="13329" max="13329" width="18.88671875" style="847" customWidth="1"/>
    <col min="13330" max="13569" width="9.109375" style="847"/>
    <col min="13570" max="13570" width="12.6640625" style="847" customWidth="1"/>
    <col min="13571" max="13571" width="18.44140625" style="847" customWidth="1"/>
    <col min="13572" max="13572" width="18.33203125" style="847" customWidth="1"/>
    <col min="13573" max="13573" width="20.5546875" style="847" customWidth="1"/>
    <col min="13574" max="13574" width="19.33203125" style="847" customWidth="1"/>
    <col min="13575" max="13575" width="22.109375" style="847" customWidth="1"/>
    <col min="13576" max="13576" width="11.33203125" style="847" customWidth="1"/>
    <col min="13577" max="13577" width="9.109375" style="847"/>
    <col min="13578" max="13578" width="11.6640625" style="847" customWidth="1"/>
    <col min="13579" max="13579" width="16.109375" style="847" customWidth="1"/>
    <col min="13580" max="13580" width="18.109375" style="847" customWidth="1"/>
    <col min="13581" max="13581" width="15.44140625" style="847" customWidth="1"/>
    <col min="13582" max="13582" width="10.44140625" style="847" customWidth="1"/>
    <col min="13583" max="13583" width="13.44140625" style="847" customWidth="1"/>
    <col min="13584" max="13584" width="17.109375" style="847" customWidth="1"/>
    <col min="13585" max="13585" width="18.88671875" style="847" customWidth="1"/>
    <col min="13586" max="13825" width="9.109375" style="847"/>
    <col min="13826" max="13826" width="12.6640625" style="847" customWidth="1"/>
    <col min="13827" max="13827" width="18.44140625" style="847" customWidth="1"/>
    <col min="13828" max="13828" width="18.33203125" style="847" customWidth="1"/>
    <col min="13829" max="13829" width="20.5546875" style="847" customWidth="1"/>
    <col min="13830" max="13830" width="19.33203125" style="847" customWidth="1"/>
    <col min="13831" max="13831" width="22.109375" style="847" customWidth="1"/>
    <col min="13832" max="13832" width="11.33203125" style="847" customWidth="1"/>
    <col min="13833" max="13833" width="9.109375" style="847"/>
    <col min="13834" max="13834" width="11.6640625" style="847" customWidth="1"/>
    <col min="13835" max="13835" width="16.109375" style="847" customWidth="1"/>
    <col min="13836" max="13836" width="18.109375" style="847" customWidth="1"/>
    <col min="13837" max="13837" width="15.44140625" style="847" customWidth="1"/>
    <col min="13838" max="13838" width="10.44140625" style="847" customWidth="1"/>
    <col min="13839" max="13839" width="13.44140625" style="847" customWidth="1"/>
    <col min="13840" max="13840" width="17.109375" style="847" customWidth="1"/>
    <col min="13841" max="13841" width="18.88671875" style="847" customWidth="1"/>
    <col min="13842" max="14081" width="9.109375" style="847"/>
    <col min="14082" max="14082" width="12.6640625" style="847" customWidth="1"/>
    <col min="14083" max="14083" width="18.44140625" style="847" customWidth="1"/>
    <col min="14084" max="14084" width="18.33203125" style="847" customWidth="1"/>
    <col min="14085" max="14085" width="20.5546875" style="847" customWidth="1"/>
    <col min="14086" max="14086" width="19.33203125" style="847" customWidth="1"/>
    <col min="14087" max="14087" width="22.109375" style="847" customWidth="1"/>
    <col min="14088" max="14088" width="11.33203125" style="847" customWidth="1"/>
    <col min="14089" max="14089" width="9.109375" style="847"/>
    <col min="14090" max="14090" width="11.6640625" style="847" customWidth="1"/>
    <col min="14091" max="14091" width="16.109375" style="847" customWidth="1"/>
    <col min="14092" max="14092" width="18.109375" style="847" customWidth="1"/>
    <col min="14093" max="14093" width="15.44140625" style="847" customWidth="1"/>
    <col min="14094" max="14094" width="10.44140625" style="847" customWidth="1"/>
    <col min="14095" max="14095" width="13.44140625" style="847" customWidth="1"/>
    <col min="14096" max="14096" width="17.109375" style="847" customWidth="1"/>
    <col min="14097" max="14097" width="18.88671875" style="847" customWidth="1"/>
    <col min="14098" max="14337" width="9.109375" style="847"/>
    <col min="14338" max="14338" width="12.6640625" style="847" customWidth="1"/>
    <col min="14339" max="14339" width="18.44140625" style="847" customWidth="1"/>
    <col min="14340" max="14340" width="18.33203125" style="847" customWidth="1"/>
    <col min="14341" max="14341" width="20.5546875" style="847" customWidth="1"/>
    <col min="14342" max="14342" width="19.33203125" style="847" customWidth="1"/>
    <col min="14343" max="14343" width="22.109375" style="847" customWidth="1"/>
    <col min="14344" max="14344" width="11.33203125" style="847" customWidth="1"/>
    <col min="14345" max="14345" width="9.109375" style="847"/>
    <col min="14346" max="14346" width="11.6640625" style="847" customWidth="1"/>
    <col min="14347" max="14347" width="16.109375" style="847" customWidth="1"/>
    <col min="14348" max="14348" width="18.109375" style="847" customWidth="1"/>
    <col min="14349" max="14349" width="15.44140625" style="847" customWidth="1"/>
    <col min="14350" max="14350" width="10.44140625" style="847" customWidth="1"/>
    <col min="14351" max="14351" width="13.44140625" style="847" customWidth="1"/>
    <col min="14352" max="14352" width="17.109375" style="847" customWidth="1"/>
    <col min="14353" max="14353" width="18.88671875" style="847" customWidth="1"/>
    <col min="14354" max="14593" width="9.109375" style="847"/>
    <col min="14594" max="14594" width="12.6640625" style="847" customWidth="1"/>
    <col min="14595" max="14595" width="18.44140625" style="847" customWidth="1"/>
    <col min="14596" max="14596" width="18.33203125" style="847" customWidth="1"/>
    <col min="14597" max="14597" width="20.5546875" style="847" customWidth="1"/>
    <col min="14598" max="14598" width="19.33203125" style="847" customWidth="1"/>
    <col min="14599" max="14599" width="22.109375" style="847" customWidth="1"/>
    <col min="14600" max="14600" width="11.33203125" style="847" customWidth="1"/>
    <col min="14601" max="14601" width="9.109375" style="847"/>
    <col min="14602" max="14602" width="11.6640625" style="847" customWidth="1"/>
    <col min="14603" max="14603" width="16.109375" style="847" customWidth="1"/>
    <col min="14604" max="14604" width="18.109375" style="847" customWidth="1"/>
    <col min="14605" max="14605" width="15.44140625" style="847" customWidth="1"/>
    <col min="14606" max="14606" width="10.44140625" style="847" customWidth="1"/>
    <col min="14607" max="14607" width="13.44140625" style="847" customWidth="1"/>
    <col min="14608" max="14608" width="17.109375" style="847" customWidth="1"/>
    <col min="14609" max="14609" width="18.88671875" style="847" customWidth="1"/>
    <col min="14610" max="14849" width="9.109375" style="847"/>
    <col min="14850" max="14850" width="12.6640625" style="847" customWidth="1"/>
    <col min="14851" max="14851" width="18.44140625" style="847" customWidth="1"/>
    <col min="14852" max="14852" width="18.33203125" style="847" customWidth="1"/>
    <col min="14853" max="14853" width="20.5546875" style="847" customWidth="1"/>
    <col min="14854" max="14854" width="19.33203125" style="847" customWidth="1"/>
    <col min="14855" max="14855" width="22.109375" style="847" customWidth="1"/>
    <col min="14856" max="14856" width="11.33203125" style="847" customWidth="1"/>
    <col min="14857" max="14857" width="9.109375" style="847"/>
    <col min="14858" max="14858" width="11.6640625" style="847" customWidth="1"/>
    <col min="14859" max="14859" width="16.109375" style="847" customWidth="1"/>
    <col min="14860" max="14860" width="18.109375" style="847" customWidth="1"/>
    <col min="14861" max="14861" width="15.44140625" style="847" customWidth="1"/>
    <col min="14862" max="14862" width="10.44140625" style="847" customWidth="1"/>
    <col min="14863" max="14863" width="13.44140625" style="847" customWidth="1"/>
    <col min="14864" max="14864" width="17.109375" style="847" customWidth="1"/>
    <col min="14865" max="14865" width="18.88671875" style="847" customWidth="1"/>
    <col min="14866" max="15105" width="9.109375" style="847"/>
    <col min="15106" max="15106" width="12.6640625" style="847" customWidth="1"/>
    <col min="15107" max="15107" width="18.44140625" style="847" customWidth="1"/>
    <col min="15108" max="15108" width="18.33203125" style="847" customWidth="1"/>
    <col min="15109" max="15109" width="20.5546875" style="847" customWidth="1"/>
    <col min="15110" max="15110" width="19.33203125" style="847" customWidth="1"/>
    <col min="15111" max="15111" width="22.109375" style="847" customWidth="1"/>
    <col min="15112" max="15112" width="11.33203125" style="847" customWidth="1"/>
    <col min="15113" max="15113" width="9.109375" style="847"/>
    <col min="15114" max="15114" width="11.6640625" style="847" customWidth="1"/>
    <col min="15115" max="15115" width="16.109375" style="847" customWidth="1"/>
    <col min="15116" max="15116" width="18.109375" style="847" customWidth="1"/>
    <col min="15117" max="15117" width="15.44140625" style="847" customWidth="1"/>
    <col min="15118" max="15118" width="10.44140625" style="847" customWidth="1"/>
    <col min="15119" max="15119" width="13.44140625" style="847" customWidth="1"/>
    <col min="15120" max="15120" width="17.109375" style="847" customWidth="1"/>
    <col min="15121" max="15121" width="18.88671875" style="847" customWidth="1"/>
    <col min="15122" max="15361" width="9.109375" style="847"/>
    <col min="15362" max="15362" width="12.6640625" style="847" customWidth="1"/>
    <col min="15363" max="15363" width="18.44140625" style="847" customWidth="1"/>
    <col min="15364" max="15364" width="18.33203125" style="847" customWidth="1"/>
    <col min="15365" max="15365" width="20.5546875" style="847" customWidth="1"/>
    <col min="15366" max="15366" width="19.33203125" style="847" customWidth="1"/>
    <col min="15367" max="15367" width="22.109375" style="847" customWidth="1"/>
    <col min="15368" max="15368" width="11.33203125" style="847" customWidth="1"/>
    <col min="15369" max="15369" width="9.109375" style="847"/>
    <col min="15370" max="15370" width="11.6640625" style="847" customWidth="1"/>
    <col min="15371" max="15371" width="16.109375" style="847" customWidth="1"/>
    <col min="15372" max="15372" width="18.109375" style="847" customWidth="1"/>
    <col min="15373" max="15373" width="15.44140625" style="847" customWidth="1"/>
    <col min="15374" max="15374" width="10.44140625" style="847" customWidth="1"/>
    <col min="15375" max="15375" width="13.44140625" style="847" customWidth="1"/>
    <col min="15376" max="15376" width="17.109375" style="847" customWidth="1"/>
    <col min="15377" max="15377" width="18.88671875" style="847" customWidth="1"/>
    <col min="15378" max="15617" width="9.109375" style="847"/>
    <col min="15618" max="15618" width="12.6640625" style="847" customWidth="1"/>
    <col min="15619" max="15619" width="18.44140625" style="847" customWidth="1"/>
    <col min="15620" max="15620" width="18.33203125" style="847" customWidth="1"/>
    <col min="15621" max="15621" width="20.5546875" style="847" customWidth="1"/>
    <col min="15622" max="15622" width="19.33203125" style="847" customWidth="1"/>
    <col min="15623" max="15623" width="22.109375" style="847" customWidth="1"/>
    <col min="15624" max="15624" width="11.33203125" style="847" customWidth="1"/>
    <col min="15625" max="15625" width="9.109375" style="847"/>
    <col min="15626" max="15626" width="11.6640625" style="847" customWidth="1"/>
    <col min="15627" max="15627" width="16.109375" style="847" customWidth="1"/>
    <col min="15628" max="15628" width="18.109375" style="847" customWidth="1"/>
    <col min="15629" max="15629" width="15.44140625" style="847" customWidth="1"/>
    <col min="15630" max="15630" width="10.44140625" style="847" customWidth="1"/>
    <col min="15631" max="15631" width="13.44140625" style="847" customWidth="1"/>
    <col min="15632" max="15632" width="17.109375" style="847" customWidth="1"/>
    <col min="15633" max="15633" width="18.88671875" style="847" customWidth="1"/>
    <col min="15634" max="15873" width="9.109375" style="847"/>
    <col min="15874" max="15874" width="12.6640625" style="847" customWidth="1"/>
    <col min="15875" max="15875" width="18.44140625" style="847" customWidth="1"/>
    <col min="15876" max="15876" width="18.33203125" style="847" customWidth="1"/>
    <col min="15877" max="15877" width="20.5546875" style="847" customWidth="1"/>
    <col min="15878" max="15878" width="19.33203125" style="847" customWidth="1"/>
    <col min="15879" max="15879" width="22.109375" style="847" customWidth="1"/>
    <col min="15880" max="15880" width="11.33203125" style="847" customWidth="1"/>
    <col min="15881" max="15881" width="9.109375" style="847"/>
    <col min="15882" max="15882" width="11.6640625" style="847" customWidth="1"/>
    <col min="15883" max="15883" width="16.109375" style="847" customWidth="1"/>
    <col min="15884" max="15884" width="18.109375" style="847" customWidth="1"/>
    <col min="15885" max="15885" width="15.44140625" style="847" customWidth="1"/>
    <col min="15886" max="15886" width="10.44140625" style="847" customWidth="1"/>
    <col min="15887" max="15887" width="13.44140625" style="847" customWidth="1"/>
    <col min="15888" max="15888" width="17.109375" style="847" customWidth="1"/>
    <col min="15889" max="15889" width="18.88671875" style="847" customWidth="1"/>
    <col min="15890" max="16129" width="9.109375" style="847"/>
    <col min="16130" max="16130" width="12.6640625" style="847" customWidth="1"/>
    <col min="16131" max="16131" width="18.44140625" style="847" customWidth="1"/>
    <col min="16132" max="16132" width="18.33203125" style="847" customWidth="1"/>
    <col min="16133" max="16133" width="20.5546875" style="847" customWidth="1"/>
    <col min="16134" max="16134" width="19.33203125" style="847" customWidth="1"/>
    <col min="16135" max="16135" width="22.109375" style="847" customWidth="1"/>
    <col min="16136" max="16136" width="11.33203125" style="847" customWidth="1"/>
    <col min="16137" max="16137" width="9.109375" style="847"/>
    <col min="16138" max="16138" width="11.6640625" style="847" customWidth="1"/>
    <col min="16139" max="16139" width="16.109375" style="847" customWidth="1"/>
    <col min="16140" max="16140" width="18.109375" style="847" customWidth="1"/>
    <col min="16141" max="16141" width="15.44140625" style="847" customWidth="1"/>
    <col min="16142" max="16142" width="10.44140625" style="847" customWidth="1"/>
    <col min="16143" max="16143" width="13.44140625" style="847" customWidth="1"/>
    <col min="16144" max="16144" width="17.109375" style="847" customWidth="1"/>
    <col min="16145" max="16145" width="18.88671875" style="847" customWidth="1"/>
    <col min="16146" max="16384" width="9.109375" style="847"/>
  </cols>
  <sheetData>
    <row r="2" spans="2:17" ht="15.6">
      <c r="B2" s="846">
        <v>2</v>
      </c>
      <c r="D2" s="847" t="s">
        <v>829</v>
      </c>
    </row>
    <row r="3" spans="2:17" ht="27" thickBot="1">
      <c r="B3" s="848" t="s">
        <v>830</v>
      </c>
      <c r="C3" s="2280" t="s">
        <v>831</v>
      </c>
      <c r="D3" s="2281"/>
      <c r="E3" s="2281"/>
      <c r="F3" s="2281"/>
      <c r="G3" s="2281"/>
      <c r="H3" s="2282"/>
    </row>
    <row r="4" spans="2:17" ht="12.75" customHeight="1">
      <c r="B4" s="2283"/>
      <c r="C4" s="849" t="s">
        <v>832</v>
      </c>
      <c r="D4" s="2285" t="s">
        <v>629</v>
      </c>
      <c r="E4" s="2285" t="s">
        <v>833</v>
      </c>
      <c r="F4" s="2287" t="s">
        <v>834</v>
      </c>
      <c r="G4" s="2289" t="s">
        <v>835</v>
      </c>
      <c r="H4" s="2290"/>
    </row>
    <row r="5" spans="2:17" ht="14.4" thickBot="1">
      <c r="B5" s="2284"/>
      <c r="C5" s="850" t="s">
        <v>836</v>
      </c>
      <c r="D5" s="2286"/>
      <c r="E5" s="2286"/>
      <c r="F5" s="2288"/>
      <c r="G5" s="851" t="s">
        <v>837</v>
      </c>
      <c r="H5" s="852" t="s">
        <v>838</v>
      </c>
      <c r="K5" s="2283" t="s">
        <v>839</v>
      </c>
      <c r="L5" s="2283" t="s">
        <v>624</v>
      </c>
      <c r="M5" s="853" t="s">
        <v>840</v>
      </c>
      <c r="N5" s="853" t="s">
        <v>841</v>
      </c>
      <c r="O5" s="853" t="s">
        <v>842</v>
      </c>
      <c r="P5" s="853" t="s">
        <v>843</v>
      </c>
      <c r="Q5" s="853" t="s">
        <v>624</v>
      </c>
    </row>
    <row r="6" spans="2:17" ht="26.4">
      <c r="B6" s="848" t="s">
        <v>844</v>
      </c>
      <c r="C6" s="854">
        <f>D6+E6</f>
        <v>69891663.985200003</v>
      </c>
      <c r="D6" s="854">
        <f>E6*0.14</f>
        <v>8583186.8052000012</v>
      </c>
      <c r="E6" s="854">
        <f>'Contractor Cover Sheet IPC 1'!I30</f>
        <v>61308477.18</v>
      </c>
      <c r="F6" s="855"/>
      <c r="G6" s="855"/>
      <c r="H6" s="855"/>
      <c r="K6" s="2284"/>
      <c r="L6" s="2284"/>
      <c r="M6" s="856" t="s">
        <v>845</v>
      </c>
      <c r="N6" s="856" t="s">
        <v>845</v>
      </c>
      <c r="O6" s="856" t="s">
        <v>832</v>
      </c>
      <c r="P6" s="856" t="s">
        <v>846</v>
      </c>
      <c r="Q6" s="856" t="s">
        <v>712</v>
      </c>
    </row>
    <row r="7" spans="2:17" ht="33.75" customHeight="1">
      <c r="B7" s="848" t="s">
        <v>847</v>
      </c>
      <c r="C7" s="854">
        <f>D7+E7</f>
        <v>0</v>
      </c>
      <c r="D7" s="854">
        <f>E7*0.14</f>
        <v>0</v>
      </c>
      <c r="E7" s="854">
        <f>'Contractor Cover Sheet IPC 1'!I47</f>
        <v>0</v>
      </c>
      <c r="F7" s="855"/>
      <c r="G7" s="855"/>
      <c r="H7" s="855"/>
      <c r="K7" s="857">
        <v>42979</v>
      </c>
      <c r="L7" s="858">
        <v>1769981.32002</v>
      </c>
      <c r="M7" s="859"/>
      <c r="N7" s="859"/>
      <c r="O7" s="860"/>
      <c r="P7" s="861">
        <f>L7</f>
        <v>1769981.32002</v>
      </c>
      <c r="Q7" s="861">
        <f>L19</f>
        <v>69891663.985200003</v>
      </c>
    </row>
    <row r="8" spans="2:17">
      <c r="B8" s="848" t="s">
        <v>712</v>
      </c>
      <c r="C8" s="862">
        <f>C6-C7</f>
        <v>69891663.985200003</v>
      </c>
      <c r="D8" s="862">
        <f>D6-D7</f>
        <v>8583186.8052000012</v>
      </c>
      <c r="E8" s="862">
        <f>E6-E7</f>
        <v>61308477.18</v>
      </c>
      <c r="F8" s="863"/>
      <c r="G8" s="863"/>
      <c r="H8" s="863"/>
      <c r="K8" s="857">
        <v>43009</v>
      </c>
      <c r="L8" s="858">
        <v>3192522.2197500002</v>
      </c>
      <c r="M8" s="859"/>
      <c r="N8" s="859"/>
      <c r="O8" s="860"/>
      <c r="P8" s="861">
        <f t="shared" ref="P8:P18" si="0">P7+L8</f>
        <v>4962503.5397699997</v>
      </c>
      <c r="Q8" s="861">
        <f>Q7-L7-L8</f>
        <v>64929160.445429996</v>
      </c>
    </row>
    <row r="9" spans="2:17">
      <c r="K9" s="857">
        <v>43040</v>
      </c>
      <c r="L9" s="858">
        <v>5541835.2599999998</v>
      </c>
      <c r="M9" s="859"/>
      <c r="N9" s="859"/>
      <c r="O9" s="860"/>
      <c r="P9" s="861">
        <f t="shared" si="0"/>
        <v>10504338.799769999</v>
      </c>
      <c r="Q9" s="861">
        <f>Q8-L9</f>
        <v>59387325.185429998</v>
      </c>
    </row>
    <row r="10" spans="2:17" ht="13.5" customHeight="1">
      <c r="K10" s="857">
        <v>43070</v>
      </c>
      <c r="L10" s="858">
        <v>0</v>
      </c>
      <c r="M10" s="859"/>
      <c r="N10" s="859"/>
      <c r="O10" s="864"/>
      <c r="P10" s="861">
        <f t="shared" si="0"/>
        <v>10504338.799769999</v>
      </c>
      <c r="Q10" s="861">
        <f>Q9-L10</f>
        <v>59387325.185429998</v>
      </c>
    </row>
    <row r="11" spans="2:17">
      <c r="K11" s="857">
        <v>43101</v>
      </c>
      <c r="L11" s="858">
        <v>3344066.9330099993</v>
      </c>
      <c r="M11" s="859"/>
      <c r="N11" s="859"/>
      <c r="O11" s="864"/>
      <c r="P11" s="861">
        <f t="shared" si="0"/>
        <v>13848405.732779998</v>
      </c>
      <c r="Q11" s="861">
        <f>Q10-L11</f>
        <v>56043258.252420001</v>
      </c>
    </row>
    <row r="12" spans="2:17">
      <c r="K12" s="857">
        <v>43132</v>
      </c>
      <c r="L12" s="858">
        <v>1797538.8860100026</v>
      </c>
      <c r="M12" s="859"/>
      <c r="N12" s="859"/>
      <c r="O12" s="864"/>
      <c r="P12" s="861">
        <f t="shared" si="0"/>
        <v>15645944.618790001</v>
      </c>
      <c r="Q12" s="861">
        <f t="shared" ref="Q12:Q18" si="1">Q11-L12</f>
        <v>54245719.366409995</v>
      </c>
    </row>
    <row r="13" spans="2:17">
      <c r="K13" s="857">
        <v>43160</v>
      </c>
      <c r="L13" s="858">
        <v>0</v>
      </c>
      <c r="M13" s="859"/>
      <c r="N13" s="859"/>
      <c r="O13" s="864"/>
      <c r="P13" s="861">
        <f t="shared" si="0"/>
        <v>15645944.618790001</v>
      </c>
      <c r="Q13" s="861">
        <f t="shared" si="1"/>
        <v>54245719.366409995</v>
      </c>
    </row>
    <row r="14" spans="2:17">
      <c r="K14" s="857">
        <v>43191</v>
      </c>
      <c r="L14" s="858">
        <v>6587974.9559999984</v>
      </c>
      <c r="M14" s="859"/>
      <c r="N14" s="859"/>
      <c r="O14" s="864"/>
      <c r="P14" s="861">
        <f t="shared" si="0"/>
        <v>22233919.574790001</v>
      </c>
      <c r="Q14" s="861">
        <f t="shared" si="1"/>
        <v>47657744.410409994</v>
      </c>
    </row>
    <row r="15" spans="2:17">
      <c r="K15" s="857">
        <v>43221</v>
      </c>
      <c r="L15" s="858">
        <v>11929547.050000001</v>
      </c>
      <c r="M15" s="859"/>
      <c r="N15" s="859"/>
      <c r="O15" s="864"/>
      <c r="P15" s="861">
        <f t="shared" si="0"/>
        <v>34163466.624789998</v>
      </c>
      <c r="Q15" s="861">
        <f t="shared" si="1"/>
        <v>35728197.36040999</v>
      </c>
    </row>
    <row r="16" spans="2:17">
      <c r="K16" s="857">
        <v>43252</v>
      </c>
      <c r="L16" s="858">
        <v>14235917.7634445</v>
      </c>
      <c r="M16" s="859"/>
      <c r="N16" s="859"/>
      <c r="O16" s="864"/>
      <c r="P16" s="861">
        <f t="shared" si="0"/>
        <v>48399384.388234496</v>
      </c>
      <c r="Q16" s="861">
        <f t="shared" si="1"/>
        <v>21492279.596965492</v>
      </c>
    </row>
    <row r="17" spans="2:17">
      <c r="K17" s="857">
        <v>43282</v>
      </c>
      <c r="L17" s="858">
        <v>13345636</v>
      </c>
      <c r="M17" s="859"/>
      <c r="N17" s="859"/>
      <c r="O17" s="864"/>
      <c r="P17" s="861">
        <f t="shared" si="0"/>
        <v>61745020.388234496</v>
      </c>
      <c r="Q17" s="861">
        <f t="shared" si="1"/>
        <v>8146643.5969654918</v>
      </c>
    </row>
    <row r="18" spans="2:17" ht="15.6">
      <c r="B18" s="846">
        <v>4</v>
      </c>
      <c r="K18" s="857">
        <v>43313</v>
      </c>
      <c r="L18" s="858">
        <v>8146643.5969655067</v>
      </c>
      <c r="M18" s="859"/>
      <c r="N18" s="859"/>
      <c r="O18" s="864"/>
      <c r="P18" s="861">
        <f t="shared" si="0"/>
        <v>69891663.985200003</v>
      </c>
      <c r="Q18" s="861">
        <f t="shared" si="1"/>
        <v>-1.4901161193847656E-8</v>
      </c>
    </row>
    <row r="19" spans="2:17" ht="14.4" thickBot="1">
      <c r="B19" s="2291" t="s">
        <v>848</v>
      </c>
      <c r="C19" s="2292"/>
      <c r="D19" s="2292"/>
      <c r="E19" s="2292"/>
      <c r="F19" s="2292"/>
      <c r="G19" s="2292"/>
      <c r="H19" s="2293"/>
      <c r="K19" s="865" t="s">
        <v>832</v>
      </c>
      <c r="L19" s="866">
        <f>SUM(L7:L18)</f>
        <v>69891663.985200003</v>
      </c>
      <c r="M19" s="867"/>
      <c r="N19" s="867"/>
      <c r="O19" s="867"/>
      <c r="P19" s="867"/>
      <c r="Q19" s="868">
        <v>0</v>
      </c>
    </row>
    <row r="20" spans="2:17" ht="15">
      <c r="B20" s="2294"/>
      <c r="C20" s="869" t="s">
        <v>832</v>
      </c>
      <c r="D20" s="2296" t="s">
        <v>629</v>
      </c>
      <c r="E20" s="2296" t="s">
        <v>833</v>
      </c>
      <c r="F20" s="2298" t="s">
        <v>834</v>
      </c>
      <c r="G20" s="2300" t="s">
        <v>835</v>
      </c>
      <c r="H20" s="2301"/>
      <c r="K20" s="870"/>
      <c r="L20" s="871"/>
      <c r="M20" s="871"/>
      <c r="N20" s="871"/>
      <c r="O20" s="863"/>
      <c r="P20" s="863"/>
      <c r="Q20" s="863"/>
    </row>
    <row r="21" spans="2:17" ht="14.4" thickBot="1">
      <c r="B21" s="2295"/>
      <c r="C21" s="872" t="s">
        <v>836</v>
      </c>
      <c r="D21" s="2297"/>
      <c r="E21" s="2297"/>
      <c r="F21" s="2299"/>
      <c r="G21" s="873" t="s">
        <v>837</v>
      </c>
      <c r="H21" s="874" t="s">
        <v>838</v>
      </c>
    </row>
    <row r="22" spans="2:17" ht="26.4">
      <c r="B22" s="875" t="s">
        <v>849</v>
      </c>
      <c r="C22" s="876">
        <f>E22+D22</f>
        <v>0</v>
      </c>
      <c r="D22" s="876">
        <f>E22*0.14</f>
        <v>0</v>
      </c>
      <c r="E22" s="876">
        <f>'Contractor Cover Sheet IPC 1'!I53</f>
        <v>0</v>
      </c>
      <c r="F22" s="877"/>
      <c r="G22" s="878"/>
      <c r="H22" s="878"/>
    </row>
    <row r="23" spans="2:17" ht="39.6">
      <c r="B23" s="875" t="s">
        <v>850</v>
      </c>
      <c r="C23" s="876">
        <f>E23+D23</f>
        <v>0</v>
      </c>
      <c r="D23" s="876">
        <f>E23*0.14</f>
        <v>0</v>
      </c>
      <c r="E23" s="876">
        <f>'Contractor Cover Sheet IPC 1'!J39</f>
        <v>0</v>
      </c>
      <c r="F23" s="877"/>
      <c r="G23" s="878"/>
      <c r="H23" s="878"/>
    </row>
    <row r="24" spans="2:17">
      <c r="B24" s="875" t="s">
        <v>851</v>
      </c>
      <c r="C24" s="879">
        <f>SUM(C22+C23)</f>
        <v>0</v>
      </c>
      <c r="D24" s="879">
        <f t="shared" ref="D24:E24" si="2">SUM(D22+D23)</f>
        <v>0</v>
      </c>
      <c r="E24" s="879">
        <f t="shared" si="2"/>
        <v>0</v>
      </c>
      <c r="F24" s="877"/>
      <c r="G24" s="880"/>
      <c r="H24" s="880"/>
    </row>
    <row r="28" spans="2:17">
      <c r="L28" s="881">
        <f>L34-L19</f>
        <v>0</v>
      </c>
      <c r="M28" s="882">
        <f>L28/5</f>
        <v>0</v>
      </c>
    </row>
    <row r="29" spans="2:17">
      <c r="J29" s="881">
        <f>L18+L28</f>
        <v>8146643.5969655067</v>
      </c>
    </row>
    <row r="34" spans="12:12">
      <c r="L34" s="883">
        <f>C6</f>
        <v>69891663.985200003</v>
      </c>
    </row>
  </sheetData>
  <mergeCells count="14">
    <mergeCell ref="K5:K6"/>
    <mergeCell ref="L5:L6"/>
    <mergeCell ref="B19:H19"/>
    <mergeCell ref="B20:B21"/>
    <mergeCell ref="D20:D21"/>
    <mergeCell ref="E20:E21"/>
    <mergeCell ref="F20:F21"/>
    <mergeCell ref="G20:H20"/>
    <mergeCell ref="C3:H3"/>
    <mergeCell ref="B4:B5"/>
    <mergeCell ref="D4:D5"/>
    <mergeCell ref="E4:E5"/>
    <mergeCell ref="F4:F5"/>
    <mergeCell ref="G4:H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4"/>
  <sheetViews>
    <sheetView view="pageBreakPreview" topLeftCell="C1" zoomScale="112" zoomScaleNormal="100" zoomScaleSheetLayoutView="112" workbookViewId="0">
      <selection activeCell="H101" sqref="H101"/>
    </sheetView>
  </sheetViews>
  <sheetFormatPr defaultColWidth="8.88671875" defaultRowHeight="13.8"/>
  <cols>
    <col min="1" max="1" width="12.6640625" style="55" customWidth="1"/>
    <col min="2" max="2" width="17.44140625" style="55" customWidth="1"/>
    <col min="3" max="3" width="79.44140625" style="22" customWidth="1"/>
    <col min="4" max="5" width="15.6640625" style="55" customWidth="1"/>
    <col min="6" max="6" width="15.6640625" style="987" customWidth="1"/>
    <col min="7" max="7" width="15.6640625" style="52" customWidth="1"/>
    <col min="8" max="8" width="20.5546875" style="22" bestFit="1" customWidth="1"/>
    <col min="9" max="9" width="11.33203125" style="22" customWidth="1"/>
    <col min="10" max="10" width="37.44140625" style="22" customWidth="1"/>
    <col min="11" max="255" width="8.88671875" style="22"/>
    <col min="256" max="256" width="12.6640625" style="22" customWidth="1"/>
    <col min="257" max="257" width="15.6640625" style="22" customWidth="1"/>
    <col min="258" max="258" width="50.6640625" style="22" customWidth="1"/>
    <col min="259" max="259" width="9.6640625" style="22" customWidth="1"/>
    <col min="260" max="261" width="11.6640625" style="22" customWidth="1"/>
    <col min="262" max="262" width="16.6640625" style="22" customWidth="1"/>
    <col min="263" max="263" width="8.88671875" style="22"/>
    <col min="264" max="264" width="16.88671875" style="22" customWidth="1"/>
    <col min="265" max="511" width="8.88671875" style="22"/>
    <col min="512" max="512" width="12.6640625" style="22" customWidth="1"/>
    <col min="513" max="513" width="15.6640625" style="22" customWidth="1"/>
    <col min="514" max="514" width="50.6640625" style="22" customWidth="1"/>
    <col min="515" max="515" width="9.6640625" style="22" customWidth="1"/>
    <col min="516" max="517" width="11.6640625" style="22" customWidth="1"/>
    <col min="518" max="518" width="16.6640625" style="22" customWidth="1"/>
    <col min="519" max="519" width="8.88671875" style="22"/>
    <col min="520" max="520" width="16.88671875" style="22" customWidth="1"/>
    <col min="521" max="767" width="8.88671875" style="22"/>
    <col min="768" max="768" width="12.6640625" style="22" customWidth="1"/>
    <col min="769" max="769" width="15.6640625" style="22" customWidth="1"/>
    <col min="770" max="770" width="50.6640625" style="22" customWidth="1"/>
    <col min="771" max="771" width="9.6640625" style="22" customWidth="1"/>
    <col min="772" max="773" width="11.6640625" style="22" customWidth="1"/>
    <col min="774" max="774" width="16.6640625" style="22" customWidth="1"/>
    <col min="775" max="775" width="8.88671875" style="22"/>
    <col min="776" max="776" width="16.88671875" style="22" customWidth="1"/>
    <col min="777" max="1023" width="8.88671875" style="22"/>
    <col min="1024" max="1024" width="12.6640625" style="22" customWidth="1"/>
    <col min="1025" max="1025" width="15.6640625" style="22" customWidth="1"/>
    <col min="1026" max="1026" width="50.6640625" style="22" customWidth="1"/>
    <col min="1027" max="1027" width="9.6640625" style="22" customWidth="1"/>
    <col min="1028" max="1029" width="11.6640625" style="22" customWidth="1"/>
    <col min="1030" max="1030" width="16.6640625" style="22" customWidth="1"/>
    <col min="1031" max="1031" width="8.88671875" style="22"/>
    <col min="1032" max="1032" width="16.88671875" style="22" customWidth="1"/>
    <col min="1033" max="1279" width="8.88671875" style="22"/>
    <col min="1280" max="1280" width="12.6640625" style="22" customWidth="1"/>
    <col min="1281" max="1281" width="15.6640625" style="22" customWidth="1"/>
    <col min="1282" max="1282" width="50.6640625" style="22" customWidth="1"/>
    <col min="1283" max="1283" width="9.6640625" style="22" customWidth="1"/>
    <col min="1284" max="1285" width="11.6640625" style="22" customWidth="1"/>
    <col min="1286" max="1286" width="16.6640625" style="22" customWidth="1"/>
    <col min="1287" max="1287" width="8.88671875" style="22"/>
    <col min="1288" max="1288" width="16.88671875" style="22" customWidth="1"/>
    <col min="1289" max="1535" width="8.88671875" style="22"/>
    <col min="1536" max="1536" width="12.6640625" style="22" customWidth="1"/>
    <col min="1537" max="1537" width="15.6640625" style="22" customWidth="1"/>
    <col min="1538" max="1538" width="50.6640625" style="22" customWidth="1"/>
    <col min="1539" max="1539" width="9.6640625" style="22" customWidth="1"/>
    <col min="1540" max="1541" width="11.6640625" style="22" customWidth="1"/>
    <col min="1542" max="1542" width="16.6640625" style="22" customWidth="1"/>
    <col min="1543" max="1543" width="8.88671875" style="22"/>
    <col min="1544" max="1544" width="16.88671875" style="22" customWidth="1"/>
    <col min="1545" max="1791" width="8.88671875" style="22"/>
    <col min="1792" max="1792" width="12.6640625" style="22" customWidth="1"/>
    <col min="1793" max="1793" width="15.6640625" style="22" customWidth="1"/>
    <col min="1794" max="1794" width="50.6640625" style="22" customWidth="1"/>
    <col min="1795" max="1795" width="9.6640625" style="22" customWidth="1"/>
    <col min="1796" max="1797" width="11.6640625" style="22" customWidth="1"/>
    <col min="1798" max="1798" width="16.6640625" style="22" customWidth="1"/>
    <col min="1799" max="1799" width="8.88671875" style="22"/>
    <col min="1800" max="1800" width="16.88671875" style="22" customWidth="1"/>
    <col min="1801" max="2047" width="8.88671875" style="22"/>
    <col min="2048" max="2048" width="12.6640625" style="22" customWidth="1"/>
    <col min="2049" max="2049" width="15.6640625" style="22" customWidth="1"/>
    <col min="2050" max="2050" width="50.6640625" style="22" customWidth="1"/>
    <col min="2051" max="2051" width="9.6640625" style="22" customWidth="1"/>
    <col min="2052" max="2053" width="11.6640625" style="22" customWidth="1"/>
    <col min="2054" max="2054" width="16.6640625" style="22" customWidth="1"/>
    <col min="2055" max="2055" width="8.88671875" style="22"/>
    <col min="2056" max="2056" width="16.88671875" style="22" customWidth="1"/>
    <col min="2057" max="2303" width="8.88671875" style="22"/>
    <col min="2304" max="2304" width="12.6640625" style="22" customWidth="1"/>
    <col min="2305" max="2305" width="15.6640625" style="22" customWidth="1"/>
    <col min="2306" max="2306" width="50.6640625" style="22" customWidth="1"/>
    <col min="2307" max="2307" width="9.6640625" style="22" customWidth="1"/>
    <col min="2308" max="2309" width="11.6640625" style="22" customWidth="1"/>
    <col min="2310" max="2310" width="16.6640625" style="22" customWidth="1"/>
    <col min="2311" max="2311" width="8.88671875" style="22"/>
    <col min="2312" max="2312" width="16.88671875" style="22" customWidth="1"/>
    <col min="2313" max="2559" width="8.88671875" style="22"/>
    <col min="2560" max="2560" width="12.6640625" style="22" customWidth="1"/>
    <col min="2561" max="2561" width="15.6640625" style="22" customWidth="1"/>
    <col min="2562" max="2562" width="50.6640625" style="22" customWidth="1"/>
    <col min="2563" max="2563" width="9.6640625" style="22" customWidth="1"/>
    <col min="2564" max="2565" width="11.6640625" style="22" customWidth="1"/>
    <col min="2566" max="2566" width="16.6640625" style="22" customWidth="1"/>
    <col min="2567" max="2567" width="8.88671875" style="22"/>
    <col min="2568" max="2568" width="16.88671875" style="22" customWidth="1"/>
    <col min="2569" max="2815" width="8.88671875" style="22"/>
    <col min="2816" max="2816" width="12.6640625" style="22" customWidth="1"/>
    <col min="2817" max="2817" width="15.6640625" style="22" customWidth="1"/>
    <col min="2818" max="2818" width="50.6640625" style="22" customWidth="1"/>
    <col min="2819" max="2819" width="9.6640625" style="22" customWidth="1"/>
    <col min="2820" max="2821" width="11.6640625" style="22" customWidth="1"/>
    <col min="2822" max="2822" width="16.6640625" style="22" customWidth="1"/>
    <col min="2823" max="2823" width="8.88671875" style="22"/>
    <col min="2824" max="2824" width="16.88671875" style="22" customWidth="1"/>
    <col min="2825" max="3071" width="8.88671875" style="22"/>
    <col min="3072" max="3072" width="12.6640625" style="22" customWidth="1"/>
    <col min="3073" max="3073" width="15.6640625" style="22" customWidth="1"/>
    <col min="3074" max="3074" width="50.6640625" style="22" customWidth="1"/>
    <col min="3075" max="3075" width="9.6640625" style="22" customWidth="1"/>
    <col min="3076" max="3077" width="11.6640625" style="22" customWidth="1"/>
    <col min="3078" max="3078" width="16.6640625" style="22" customWidth="1"/>
    <col min="3079" max="3079" width="8.88671875" style="22"/>
    <col min="3080" max="3080" width="16.88671875" style="22" customWidth="1"/>
    <col min="3081" max="3327" width="8.88671875" style="22"/>
    <col min="3328" max="3328" width="12.6640625" style="22" customWidth="1"/>
    <col min="3329" max="3329" width="15.6640625" style="22" customWidth="1"/>
    <col min="3330" max="3330" width="50.6640625" style="22" customWidth="1"/>
    <col min="3331" max="3331" width="9.6640625" style="22" customWidth="1"/>
    <col min="3332" max="3333" width="11.6640625" style="22" customWidth="1"/>
    <col min="3334" max="3334" width="16.6640625" style="22" customWidth="1"/>
    <col min="3335" max="3335" width="8.88671875" style="22"/>
    <col min="3336" max="3336" width="16.88671875" style="22" customWidth="1"/>
    <col min="3337" max="3583" width="8.88671875" style="22"/>
    <col min="3584" max="3584" width="12.6640625" style="22" customWidth="1"/>
    <col min="3585" max="3585" width="15.6640625" style="22" customWidth="1"/>
    <col min="3586" max="3586" width="50.6640625" style="22" customWidth="1"/>
    <col min="3587" max="3587" width="9.6640625" style="22" customWidth="1"/>
    <col min="3588" max="3589" width="11.6640625" style="22" customWidth="1"/>
    <col min="3590" max="3590" width="16.6640625" style="22" customWidth="1"/>
    <col min="3591" max="3591" width="8.88671875" style="22"/>
    <col min="3592" max="3592" width="16.88671875" style="22" customWidth="1"/>
    <col min="3593" max="3839" width="8.88671875" style="22"/>
    <col min="3840" max="3840" width="12.6640625" style="22" customWidth="1"/>
    <col min="3841" max="3841" width="15.6640625" style="22" customWidth="1"/>
    <col min="3842" max="3842" width="50.6640625" style="22" customWidth="1"/>
    <col min="3843" max="3843" width="9.6640625" style="22" customWidth="1"/>
    <col min="3844" max="3845" width="11.6640625" style="22" customWidth="1"/>
    <col min="3846" max="3846" width="16.6640625" style="22" customWidth="1"/>
    <col min="3847" max="3847" width="8.88671875" style="22"/>
    <col min="3848" max="3848" width="16.88671875" style="22" customWidth="1"/>
    <col min="3849" max="4095" width="8.88671875" style="22"/>
    <col min="4096" max="4096" width="12.6640625" style="22" customWidth="1"/>
    <col min="4097" max="4097" width="15.6640625" style="22" customWidth="1"/>
    <col min="4098" max="4098" width="50.6640625" style="22" customWidth="1"/>
    <col min="4099" max="4099" width="9.6640625" style="22" customWidth="1"/>
    <col min="4100" max="4101" width="11.6640625" style="22" customWidth="1"/>
    <col min="4102" max="4102" width="16.6640625" style="22" customWidth="1"/>
    <col min="4103" max="4103" width="8.88671875" style="22"/>
    <col min="4104" max="4104" width="16.88671875" style="22" customWidth="1"/>
    <col min="4105" max="4351" width="8.88671875" style="22"/>
    <col min="4352" max="4352" width="12.6640625" style="22" customWidth="1"/>
    <col min="4353" max="4353" width="15.6640625" style="22" customWidth="1"/>
    <col min="4354" max="4354" width="50.6640625" style="22" customWidth="1"/>
    <col min="4355" max="4355" width="9.6640625" style="22" customWidth="1"/>
    <col min="4356" max="4357" width="11.6640625" style="22" customWidth="1"/>
    <col min="4358" max="4358" width="16.6640625" style="22" customWidth="1"/>
    <col min="4359" max="4359" width="8.88671875" style="22"/>
    <col min="4360" max="4360" width="16.88671875" style="22" customWidth="1"/>
    <col min="4361" max="4607" width="8.88671875" style="22"/>
    <col min="4608" max="4608" width="12.6640625" style="22" customWidth="1"/>
    <col min="4609" max="4609" width="15.6640625" style="22" customWidth="1"/>
    <col min="4610" max="4610" width="50.6640625" style="22" customWidth="1"/>
    <col min="4611" max="4611" width="9.6640625" style="22" customWidth="1"/>
    <col min="4612" max="4613" width="11.6640625" style="22" customWidth="1"/>
    <col min="4614" max="4614" width="16.6640625" style="22" customWidth="1"/>
    <col min="4615" max="4615" width="8.88671875" style="22"/>
    <col min="4616" max="4616" width="16.88671875" style="22" customWidth="1"/>
    <col min="4617" max="4863" width="8.88671875" style="22"/>
    <col min="4864" max="4864" width="12.6640625" style="22" customWidth="1"/>
    <col min="4865" max="4865" width="15.6640625" style="22" customWidth="1"/>
    <col min="4866" max="4866" width="50.6640625" style="22" customWidth="1"/>
    <col min="4867" max="4867" width="9.6640625" style="22" customWidth="1"/>
    <col min="4868" max="4869" width="11.6640625" style="22" customWidth="1"/>
    <col min="4870" max="4870" width="16.6640625" style="22" customWidth="1"/>
    <col min="4871" max="4871" width="8.88671875" style="22"/>
    <col min="4872" max="4872" width="16.88671875" style="22" customWidth="1"/>
    <col min="4873" max="5119" width="8.88671875" style="22"/>
    <col min="5120" max="5120" width="12.6640625" style="22" customWidth="1"/>
    <col min="5121" max="5121" width="15.6640625" style="22" customWidth="1"/>
    <col min="5122" max="5122" width="50.6640625" style="22" customWidth="1"/>
    <col min="5123" max="5123" width="9.6640625" style="22" customWidth="1"/>
    <col min="5124" max="5125" width="11.6640625" style="22" customWidth="1"/>
    <col min="5126" max="5126" width="16.6640625" style="22" customWidth="1"/>
    <col min="5127" max="5127" width="8.88671875" style="22"/>
    <col min="5128" max="5128" width="16.88671875" style="22" customWidth="1"/>
    <col min="5129" max="5375" width="8.88671875" style="22"/>
    <col min="5376" max="5376" width="12.6640625" style="22" customWidth="1"/>
    <col min="5377" max="5377" width="15.6640625" style="22" customWidth="1"/>
    <col min="5378" max="5378" width="50.6640625" style="22" customWidth="1"/>
    <col min="5379" max="5379" width="9.6640625" style="22" customWidth="1"/>
    <col min="5380" max="5381" width="11.6640625" style="22" customWidth="1"/>
    <col min="5382" max="5382" width="16.6640625" style="22" customWidth="1"/>
    <col min="5383" max="5383" width="8.88671875" style="22"/>
    <col min="5384" max="5384" width="16.88671875" style="22" customWidth="1"/>
    <col min="5385" max="5631" width="8.88671875" style="22"/>
    <col min="5632" max="5632" width="12.6640625" style="22" customWidth="1"/>
    <col min="5633" max="5633" width="15.6640625" style="22" customWidth="1"/>
    <col min="5634" max="5634" width="50.6640625" style="22" customWidth="1"/>
    <col min="5635" max="5635" width="9.6640625" style="22" customWidth="1"/>
    <col min="5636" max="5637" width="11.6640625" style="22" customWidth="1"/>
    <col min="5638" max="5638" width="16.6640625" style="22" customWidth="1"/>
    <col min="5639" max="5639" width="8.88671875" style="22"/>
    <col min="5640" max="5640" width="16.88671875" style="22" customWidth="1"/>
    <col min="5641" max="5887" width="8.88671875" style="22"/>
    <col min="5888" max="5888" width="12.6640625" style="22" customWidth="1"/>
    <col min="5889" max="5889" width="15.6640625" style="22" customWidth="1"/>
    <col min="5890" max="5890" width="50.6640625" style="22" customWidth="1"/>
    <col min="5891" max="5891" width="9.6640625" style="22" customWidth="1"/>
    <col min="5892" max="5893" width="11.6640625" style="22" customWidth="1"/>
    <col min="5894" max="5894" width="16.6640625" style="22" customWidth="1"/>
    <col min="5895" max="5895" width="8.88671875" style="22"/>
    <col min="5896" max="5896" width="16.88671875" style="22" customWidth="1"/>
    <col min="5897" max="6143" width="8.88671875" style="22"/>
    <col min="6144" max="6144" width="12.6640625" style="22" customWidth="1"/>
    <col min="6145" max="6145" width="15.6640625" style="22" customWidth="1"/>
    <col min="6146" max="6146" width="50.6640625" style="22" customWidth="1"/>
    <col min="6147" max="6147" width="9.6640625" style="22" customWidth="1"/>
    <col min="6148" max="6149" width="11.6640625" style="22" customWidth="1"/>
    <col min="6150" max="6150" width="16.6640625" style="22" customWidth="1"/>
    <col min="6151" max="6151" width="8.88671875" style="22"/>
    <col min="6152" max="6152" width="16.88671875" style="22" customWidth="1"/>
    <col min="6153" max="6399" width="8.88671875" style="22"/>
    <col min="6400" max="6400" width="12.6640625" style="22" customWidth="1"/>
    <col min="6401" max="6401" width="15.6640625" style="22" customWidth="1"/>
    <col min="6402" max="6402" width="50.6640625" style="22" customWidth="1"/>
    <col min="6403" max="6403" width="9.6640625" style="22" customWidth="1"/>
    <col min="6404" max="6405" width="11.6640625" style="22" customWidth="1"/>
    <col min="6406" max="6406" width="16.6640625" style="22" customWidth="1"/>
    <col min="6407" max="6407" width="8.88671875" style="22"/>
    <col min="6408" max="6408" width="16.88671875" style="22" customWidth="1"/>
    <col min="6409" max="6655" width="8.88671875" style="22"/>
    <col min="6656" max="6656" width="12.6640625" style="22" customWidth="1"/>
    <col min="6657" max="6657" width="15.6640625" style="22" customWidth="1"/>
    <col min="6658" max="6658" width="50.6640625" style="22" customWidth="1"/>
    <col min="6659" max="6659" width="9.6640625" style="22" customWidth="1"/>
    <col min="6660" max="6661" width="11.6640625" style="22" customWidth="1"/>
    <col min="6662" max="6662" width="16.6640625" style="22" customWidth="1"/>
    <col min="6663" max="6663" width="8.88671875" style="22"/>
    <col min="6664" max="6664" width="16.88671875" style="22" customWidth="1"/>
    <col min="6665" max="6911" width="8.88671875" style="22"/>
    <col min="6912" max="6912" width="12.6640625" style="22" customWidth="1"/>
    <col min="6913" max="6913" width="15.6640625" style="22" customWidth="1"/>
    <col min="6914" max="6914" width="50.6640625" style="22" customWidth="1"/>
    <col min="6915" max="6915" width="9.6640625" style="22" customWidth="1"/>
    <col min="6916" max="6917" width="11.6640625" style="22" customWidth="1"/>
    <col min="6918" max="6918" width="16.6640625" style="22" customWidth="1"/>
    <col min="6919" max="6919" width="8.88671875" style="22"/>
    <col min="6920" max="6920" width="16.88671875" style="22" customWidth="1"/>
    <col min="6921" max="7167" width="8.88671875" style="22"/>
    <col min="7168" max="7168" width="12.6640625" style="22" customWidth="1"/>
    <col min="7169" max="7169" width="15.6640625" style="22" customWidth="1"/>
    <col min="7170" max="7170" width="50.6640625" style="22" customWidth="1"/>
    <col min="7171" max="7171" width="9.6640625" style="22" customWidth="1"/>
    <col min="7172" max="7173" width="11.6640625" style="22" customWidth="1"/>
    <col min="7174" max="7174" width="16.6640625" style="22" customWidth="1"/>
    <col min="7175" max="7175" width="8.88671875" style="22"/>
    <col min="7176" max="7176" width="16.88671875" style="22" customWidth="1"/>
    <col min="7177" max="7423" width="8.88671875" style="22"/>
    <col min="7424" max="7424" width="12.6640625" style="22" customWidth="1"/>
    <col min="7425" max="7425" width="15.6640625" style="22" customWidth="1"/>
    <col min="7426" max="7426" width="50.6640625" style="22" customWidth="1"/>
    <col min="7427" max="7427" width="9.6640625" style="22" customWidth="1"/>
    <col min="7428" max="7429" width="11.6640625" style="22" customWidth="1"/>
    <col min="7430" max="7430" width="16.6640625" style="22" customWidth="1"/>
    <col min="7431" max="7431" width="8.88671875" style="22"/>
    <col min="7432" max="7432" width="16.88671875" style="22" customWidth="1"/>
    <col min="7433" max="7679" width="8.88671875" style="22"/>
    <col min="7680" max="7680" width="12.6640625" style="22" customWidth="1"/>
    <col min="7681" max="7681" width="15.6640625" style="22" customWidth="1"/>
    <col min="7682" max="7682" width="50.6640625" style="22" customWidth="1"/>
    <col min="7683" max="7683" width="9.6640625" style="22" customWidth="1"/>
    <col min="7684" max="7685" width="11.6640625" style="22" customWidth="1"/>
    <col min="7686" max="7686" width="16.6640625" style="22" customWidth="1"/>
    <col min="7687" max="7687" width="8.88671875" style="22"/>
    <col min="7688" max="7688" width="16.88671875" style="22" customWidth="1"/>
    <col min="7689" max="7935" width="8.88671875" style="22"/>
    <col min="7936" max="7936" width="12.6640625" style="22" customWidth="1"/>
    <col min="7937" max="7937" width="15.6640625" style="22" customWidth="1"/>
    <col min="7938" max="7938" width="50.6640625" style="22" customWidth="1"/>
    <col min="7939" max="7939" width="9.6640625" style="22" customWidth="1"/>
    <col min="7940" max="7941" width="11.6640625" style="22" customWidth="1"/>
    <col min="7942" max="7942" width="16.6640625" style="22" customWidth="1"/>
    <col min="7943" max="7943" width="8.88671875" style="22"/>
    <col min="7944" max="7944" width="16.88671875" style="22" customWidth="1"/>
    <col min="7945" max="8191" width="8.88671875" style="22"/>
    <col min="8192" max="8192" width="12.6640625" style="22" customWidth="1"/>
    <col min="8193" max="8193" width="15.6640625" style="22" customWidth="1"/>
    <col min="8194" max="8194" width="50.6640625" style="22" customWidth="1"/>
    <col min="8195" max="8195" width="9.6640625" style="22" customWidth="1"/>
    <col min="8196" max="8197" width="11.6640625" style="22" customWidth="1"/>
    <col min="8198" max="8198" width="16.6640625" style="22" customWidth="1"/>
    <col min="8199" max="8199" width="8.88671875" style="22"/>
    <col min="8200" max="8200" width="16.88671875" style="22" customWidth="1"/>
    <col min="8201" max="8447" width="8.88671875" style="22"/>
    <col min="8448" max="8448" width="12.6640625" style="22" customWidth="1"/>
    <col min="8449" max="8449" width="15.6640625" style="22" customWidth="1"/>
    <col min="8450" max="8450" width="50.6640625" style="22" customWidth="1"/>
    <col min="8451" max="8451" width="9.6640625" style="22" customWidth="1"/>
    <col min="8452" max="8453" width="11.6640625" style="22" customWidth="1"/>
    <col min="8454" max="8454" width="16.6640625" style="22" customWidth="1"/>
    <col min="8455" max="8455" width="8.88671875" style="22"/>
    <col min="8456" max="8456" width="16.88671875" style="22" customWidth="1"/>
    <col min="8457" max="8703" width="8.88671875" style="22"/>
    <col min="8704" max="8704" width="12.6640625" style="22" customWidth="1"/>
    <col min="8705" max="8705" width="15.6640625" style="22" customWidth="1"/>
    <col min="8706" max="8706" width="50.6640625" style="22" customWidth="1"/>
    <col min="8707" max="8707" width="9.6640625" style="22" customWidth="1"/>
    <col min="8708" max="8709" width="11.6640625" style="22" customWidth="1"/>
    <col min="8710" max="8710" width="16.6640625" style="22" customWidth="1"/>
    <col min="8711" max="8711" width="8.88671875" style="22"/>
    <col min="8712" max="8712" width="16.88671875" style="22" customWidth="1"/>
    <col min="8713" max="8959" width="8.88671875" style="22"/>
    <col min="8960" max="8960" width="12.6640625" style="22" customWidth="1"/>
    <col min="8961" max="8961" width="15.6640625" style="22" customWidth="1"/>
    <col min="8962" max="8962" width="50.6640625" style="22" customWidth="1"/>
    <col min="8963" max="8963" width="9.6640625" style="22" customWidth="1"/>
    <col min="8964" max="8965" width="11.6640625" style="22" customWidth="1"/>
    <col min="8966" max="8966" width="16.6640625" style="22" customWidth="1"/>
    <col min="8967" max="8967" width="8.88671875" style="22"/>
    <col min="8968" max="8968" width="16.88671875" style="22" customWidth="1"/>
    <col min="8969" max="9215" width="8.88671875" style="22"/>
    <col min="9216" max="9216" width="12.6640625" style="22" customWidth="1"/>
    <col min="9217" max="9217" width="15.6640625" style="22" customWidth="1"/>
    <col min="9218" max="9218" width="50.6640625" style="22" customWidth="1"/>
    <col min="9219" max="9219" width="9.6640625" style="22" customWidth="1"/>
    <col min="9220" max="9221" width="11.6640625" style="22" customWidth="1"/>
    <col min="9222" max="9222" width="16.6640625" style="22" customWidth="1"/>
    <col min="9223" max="9223" width="8.88671875" style="22"/>
    <col min="9224" max="9224" width="16.88671875" style="22" customWidth="1"/>
    <col min="9225" max="9471" width="8.88671875" style="22"/>
    <col min="9472" max="9472" width="12.6640625" style="22" customWidth="1"/>
    <col min="9473" max="9473" width="15.6640625" style="22" customWidth="1"/>
    <col min="9474" max="9474" width="50.6640625" style="22" customWidth="1"/>
    <col min="9475" max="9475" width="9.6640625" style="22" customWidth="1"/>
    <col min="9476" max="9477" width="11.6640625" style="22" customWidth="1"/>
    <col min="9478" max="9478" width="16.6640625" style="22" customWidth="1"/>
    <col min="9479" max="9479" width="8.88671875" style="22"/>
    <col min="9480" max="9480" width="16.88671875" style="22" customWidth="1"/>
    <col min="9481" max="9727" width="8.88671875" style="22"/>
    <col min="9728" max="9728" width="12.6640625" style="22" customWidth="1"/>
    <col min="9729" max="9729" width="15.6640625" style="22" customWidth="1"/>
    <col min="9730" max="9730" width="50.6640625" style="22" customWidth="1"/>
    <col min="9731" max="9731" width="9.6640625" style="22" customWidth="1"/>
    <col min="9732" max="9733" width="11.6640625" style="22" customWidth="1"/>
    <col min="9734" max="9734" width="16.6640625" style="22" customWidth="1"/>
    <col min="9735" max="9735" width="8.88671875" style="22"/>
    <col min="9736" max="9736" width="16.88671875" style="22" customWidth="1"/>
    <col min="9737" max="9983" width="8.88671875" style="22"/>
    <col min="9984" max="9984" width="12.6640625" style="22" customWidth="1"/>
    <col min="9985" max="9985" width="15.6640625" style="22" customWidth="1"/>
    <col min="9986" max="9986" width="50.6640625" style="22" customWidth="1"/>
    <col min="9987" max="9987" width="9.6640625" style="22" customWidth="1"/>
    <col min="9988" max="9989" width="11.6640625" style="22" customWidth="1"/>
    <col min="9990" max="9990" width="16.6640625" style="22" customWidth="1"/>
    <col min="9991" max="9991" width="8.88671875" style="22"/>
    <col min="9992" max="9992" width="16.88671875" style="22" customWidth="1"/>
    <col min="9993" max="10239" width="8.88671875" style="22"/>
    <col min="10240" max="10240" width="12.6640625" style="22" customWidth="1"/>
    <col min="10241" max="10241" width="15.6640625" style="22" customWidth="1"/>
    <col min="10242" max="10242" width="50.6640625" style="22" customWidth="1"/>
    <col min="10243" max="10243" width="9.6640625" style="22" customWidth="1"/>
    <col min="10244" max="10245" width="11.6640625" style="22" customWidth="1"/>
    <col min="10246" max="10246" width="16.6640625" style="22" customWidth="1"/>
    <col min="10247" max="10247" width="8.88671875" style="22"/>
    <col min="10248" max="10248" width="16.88671875" style="22" customWidth="1"/>
    <col min="10249" max="10495" width="8.88671875" style="22"/>
    <col min="10496" max="10496" width="12.6640625" style="22" customWidth="1"/>
    <col min="10497" max="10497" width="15.6640625" style="22" customWidth="1"/>
    <col min="10498" max="10498" width="50.6640625" style="22" customWidth="1"/>
    <col min="10499" max="10499" width="9.6640625" style="22" customWidth="1"/>
    <col min="10500" max="10501" width="11.6640625" style="22" customWidth="1"/>
    <col min="10502" max="10502" width="16.6640625" style="22" customWidth="1"/>
    <col min="10503" max="10503" width="8.88671875" style="22"/>
    <col min="10504" max="10504" width="16.88671875" style="22" customWidth="1"/>
    <col min="10505" max="10751" width="8.88671875" style="22"/>
    <col min="10752" max="10752" width="12.6640625" style="22" customWidth="1"/>
    <col min="10753" max="10753" width="15.6640625" style="22" customWidth="1"/>
    <col min="10754" max="10754" width="50.6640625" style="22" customWidth="1"/>
    <col min="10755" max="10755" width="9.6640625" style="22" customWidth="1"/>
    <col min="10756" max="10757" width="11.6640625" style="22" customWidth="1"/>
    <col min="10758" max="10758" width="16.6640625" style="22" customWidth="1"/>
    <col min="10759" max="10759" width="8.88671875" style="22"/>
    <col min="10760" max="10760" width="16.88671875" style="22" customWidth="1"/>
    <col min="10761" max="11007" width="8.88671875" style="22"/>
    <col min="11008" max="11008" width="12.6640625" style="22" customWidth="1"/>
    <col min="11009" max="11009" width="15.6640625" style="22" customWidth="1"/>
    <col min="11010" max="11010" width="50.6640625" style="22" customWidth="1"/>
    <col min="11011" max="11011" width="9.6640625" style="22" customWidth="1"/>
    <col min="11012" max="11013" width="11.6640625" style="22" customWidth="1"/>
    <col min="11014" max="11014" width="16.6640625" style="22" customWidth="1"/>
    <col min="11015" max="11015" width="8.88671875" style="22"/>
    <col min="11016" max="11016" width="16.88671875" style="22" customWidth="1"/>
    <col min="11017" max="11263" width="8.88671875" style="22"/>
    <col min="11264" max="11264" width="12.6640625" style="22" customWidth="1"/>
    <col min="11265" max="11265" width="15.6640625" style="22" customWidth="1"/>
    <col min="11266" max="11266" width="50.6640625" style="22" customWidth="1"/>
    <col min="11267" max="11267" width="9.6640625" style="22" customWidth="1"/>
    <col min="11268" max="11269" width="11.6640625" style="22" customWidth="1"/>
    <col min="11270" max="11270" width="16.6640625" style="22" customWidth="1"/>
    <col min="11271" max="11271" width="8.88671875" style="22"/>
    <col min="11272" max="11272" width="16.88671875" style="22" customWidth="1"/>
    <col min="11273" max="11519" width="8.88671875" style="22"/>
    <col min="11520" max="11520" width="12.6640625" style="22" customWidth="1"/>
    <col min="11521" max="11521" width="15.6640625" style="22" customWidth="1"/>
    <col min="11522" max="11522" width="50.6640625" style="22" customWidth="1"/>
    <col min="11523" max="11523" width="9.6640625" style="22" customWidth="1"/>
    <col min="11524" max="11525" width="11.6640625" style="22" customWidth="1"/>
    <col min="11526" max="11526" width="16.6640625" style="22" customWidth="1"/>
    <col min="11527" max="11527" width="8.88671875" style="22"/>
    <col min="11528" max="11528" width="16.88671875" style="22" customWidth="1"/>
    <col min="11529" max="11775" width="8.88671875" style="22"/>
    <col min="11776" max="11776" width="12.6640625" style="22" customWidth="1"/>
    <col min="11777" max="11777" width="15.6640625" style="22" customWidth="1"/>
    <col min="11778" max="11778" width="50.6640625" style="22" customWidth="1"/>
    <col min="11779" max="11779" width="9.6640625" style="22" customWidth="1"/>
    <col min="11780" max="11781" width="11.6640625" style="22" customWidth="1"/>
    <col min="11782" max="11782" width="16.6640625" style="22" customWidth="1"/>
    <col min="11783" max="11783" width="8.88671875" style="22"/>
    <col min="11784" max="11784" width="16.88671875" style="22" customWidth="1"/>
    <col min="11785" max="12031" width="8.88671875" style="22"/>
    <col min="12032" max="12032" width="12.6640625" style="22" customWidth="1"/>
    <col min="12033" max="12033" width="15.6640625" style="22" customWidth="1"/>
    <col min="12034" max="12034" width="50.6640625" style="22" customWidth="1"/>
    <col min="12035" max="12035" width="9.6640625" style="22" customWidth="1"/>
    <col min="12036" max="12037" width="11.6640625" style="22" customWidth="1"/>
    <col min="12038" max="12038" width="16.6640625" style="22" customWidth="1"/>
    <col min="12039" max="12039" width="8.88671875" style="22"/>
    <col min="12040" max="12040" width="16.88671875" style="22" customWidth="1"/>
    <col min="12041" max="12287" width="8.88671875" style="22"/>
    <col min="12288" max="12288" width="12.6640625" style="22" customWidth="1"/>
    <col min="12289" max="12289" width="15.6640625" style="22" customWidth="1"/>
    <col min="12290" max="12290" width="50.6640625" style="22" customWidth="1"/>
    <col min="12291" max="12291" width="9.6640625" style="22" customWidth="1"/>
    <col min="12292" max="12293" width="11.6640625" style="22" customWidth="1"/>
    <col min="12294" max="12294" width="16.6640625" style="22" customWidth="1"/>
    <col min="12295" max="12295" width="8.88671875" style="22"/>
    <col min="12296" max="12296" width="16.88671875" style="22" customWidth="1"/>
    <col min="12297" max="12543" width="8.88671875" style="22"/>
    <col min="12544" max="12544" width="12.6640625" style="22" customWidth="1"/>
    <col min="12545" max="12545" width="15.6640625" style="22" customWidth="1"/>
    <col min="12546" max="12546" width="50.6640625" style="22" customWidth="1"/>
    <col min="12547" max="12547" width="9.6640625" style="22" customWidth="1"/>
    <col min="12548" max="12549" width="11.6640625" style="22" customWidth="1"/>
    <col min="12550" max="12550" width="16.6640625" style="22" customWidth="1"/>
    <col min="12551" max="12551" width="8.88671875" style="22"/>
    <col min="12552" max="12552" width="16.88671875" style="22" customWidth="1"/>
    <col min="12553" max="12799" width="8.88671875" style="22"/>
    <col min="12800" max="12800" width="12.6640625" style="22" customWidth="1"/>
    <col min="12801" max="12801" width="15.6640625" style="22" customWidth="1"/>
    <col min="12802" max="12802" width="50.6640625" style="22" customWidth="1"/>
    <col min="12803" max="12803" width="9.6640625" style="22" customWidth="1"/>
    <col min="12804" max="12805" width="11.6640625" style="22" customWidth="1"/>
    <col min="12806" max="12806" width="16.6640625" style="22" customWidth="1"/>
    <col min="12807" max="12807" width="8.88671875" style="22"/>
    <col min="12808" max="12808" width="16.88671875" style="22" customWidth="1"/>
    <col min="12809" max="13055" width="8.88671875" style="22"/>
    <col min="13056" max="13056" width="12.6640625" style="22" customWidth="1"/>
    <col min="13057" max="13057" width="15.6640625" style="22" customWidth="1"/>
    <col min="13058" max="13058" width="50.6640625" style="22" customWidth="1"/>
    <col min="13059" max="13059" width="9.6640625" style="22" customWidth="1"/>
    <col min="13060" max="13061" width="11.6640625" style="22" customWidth="1"/>
    <col min="13062" max="13062" width="16.6640625" style="22" customWidth="1"/>
    <col min="13063" max="13063" width="8.88671875" style="22"/>
    <col min="13064" max="13064" width="16.88671875" style="22" customWidth="1"/>
    <col min="13065" max="13311" width="8.88671875" style="22"/>
    <col min="13312" max="13312" width="12.6640625" style="22" customWidth="1"/>
    <col min="13313" max="13313" width="15.6640625" style="22" customWidth="1"/>
    <col min="13314" max="13314" width="50.6640625" style="22" customWidth="1"/>
    <col min="13315" max="13315" width="9.6640625" style="22" customWidth="1"/>
    <col min="13316" max="13317" width="11.6640625" style="22" customWidth="1"/>
    <col min="13318" max="13318" width="16.6640625" style="22" customWidth="1"/>
    <col min="13319" max="13319" width="8.88671875" style="22"/>
    <col min="13320" max="13320" width="16.88671875" style="22" customWidth="1"/>
    <col min="13321" max="13567" width="8.88671875" style="22"/>
    <col min="13568" max="13568" width="12.6640625" style="22" customWidth="1"/>
    <col min="13569" max="13569" width="15.6640625" style="22" customWidth="1"/>
    <col min="13570" max="13570" width="50.6640625" style="22" customWidth="1"/>
    <col min="13571" max="13571" width="9.6640625" style="22" customWidth="1"/>
    <col min="13572" max="13573" width="11.6640625" style="22" customWidth="1"/>
    <col min="13574" max="13574" width="16.6640625" style="22" customWidth="1"/>
    <col min="13575" max="13575" width="8.88671875" style="22"/>
    <col min="13576" max="13576" width="16.88671875" style="22" customWidth="1"/>
    <col min="13577" max="13823" width="8.88671875" style="22"/>
    <col min="13824" max="13824" width="12.6640625" style="22" customWidth="1"/>
    <col min="13825" max="13825" width="15.6640625" style="22" customWidth="1"/>
    <col min="13826" max="13826" width="50.6640625" style="22" customWidth="1"/>
    <col min="13827" max="13827" width="9.6640625" style="22" customWidth="1"/>
    <col min="13828" max="13829" width="11.6640625" style="22" customWidth="1"/>
    <col min="13830" max="13830" width="16.6640625" style="22" customWidth="1"/>
    <col min="13831" max="13831" width="8.88671875" style="22"/>
    <col min="13832" max="13832" width="16.88671875" style="22" customWidth="1"/>
    <col min="13833" max="14079" width="8.88671875" style="22"/>
    <col min="14080" max="14080" width="12.6640625" style="22" customWidth="1"/>
    <col min="14081" max="14081" width="15.6640625" style="22" customWidth="1"/>
    <col min="14082" max="14082" width="50.6640625" style="22" customWidth="1"/>
    <col min="14083" max="14083" width="9.6640625" style="22" customWidth="1"/>
    <col min="14084" max="14085" width="11.6640625" style="22" customWidth="1"/>
    <col min="14086" max="14086" width="16.6640625" style="22" customWidth="1"/>
    <col min="14087" max="14087" width="8.88671875" style="22"/>
    <col min="14088" max="14088" width="16.88671875" style="22" customWidth="1"/>
    <col min="14089" max="14335" width="8.88671875" style="22"/>
    <col min="14336" max="14336" width="12.6640625" style="22" customWidth="1"/>
    <col min="14337" max="14337" width="15.6640625" style="22" customWidth="1"/>
    <col min="14338" max="14338" width="50.6640625" style="22" customWidth="1"/>
    <col min="14339" max="14339" width="9.6640625" style="22" customWidth="1"/>
    <col min="14340" max="14341" width="11.6640625" style="22" customWidth="1"/>
    <col min="14342" max="14342" width="16.6640625" style="22" customWidth="1"/>
    <col min="14343" max="14343" width="8.88671875" style="22"/>
    <col min="14344" max="14344" width="16.88671875" style="22" customWidth="1"/>
    <col min="14345" max="14591" width="8.88671875" style="22"/>
    <col min="14592" max="14592" width="12.6640625" style="22" customWidth="1"/>
    <col min="14593" max="14593" width="15.6640625" style="22" customWidth="1"/>
    <col min="14594" max="14594" width="50.6640625" style="22" customWidth="1"/>
    <col min="14595" max="14595" width="9.6640625" style="22" customWidth="1"/>
    <col min="14596" max="14597" width="11.6640625" style="22" customWidth="1"/>
    <col min="14598" max="14598" width="16.6640625" style="22" customWidth="1"/>
    <col min="14599" max="14599" width="8.88671875" style="22"/>
    <col min="14600" max="14600" width="16.88671875" style="22" customWidth="1"/>
    <col min="14601" max="14847" width="8.88671875" style="22"/>
    <col min="14848" max="14848" width="12.6640625" style="22" customWidth="1"/>
    <col min="14849" max="14849" width="15.6640625" style="22" customWidth="1"/>
    <col min="14850" max="14850" width="50.6640625" style="22" customWidth="1"/>
    <col min="14851" max="14851" width="9.6640625" style="22" customWidth="1"/>
    <col min="14852" max="14853" width="11.6640625" style="22" customWidth="1"/>
    <col min="14854" max="14854" width="16.6640625" style="22" customWidth="1"/>
    <col min="14855" max="14855" width="8.88671875" style="22"/>
    <col min="14856" max="14856" width="16.88671875" style="22" customWidth="1"/>
    <col min="14857" max="15103" width="8.88671875" style="22"/>
    <col min="15104" max="15104" width="12.6640625" style="22" customWidth="1"/>
    <col min="15105" max="15105" width="15.6640625" style="22" customWidth="1"/>
    <col min="15106" max="15106" width="50.6640625" style="22" customWidth="1"/>
    <col min="15107" max="15107" width="9.6640625" style="22" customWidth="1"/>
    <col min="15108" max="15109" width="11.6640625" style="22" customWidth="1"/>
    <col min="15110" max="15110" width="16.6640625" style="22" customWidth="1"/>
    <col min="15111" max="15111" width="8.88671875" style="22"/>
    <col min="15112" max="15112" width="16.88671875" style="22" customWidth="1"/>
    <col min="15113" max="15359" width="8.88671875" style="22"/>
    <col min="15360" max="15360" width="12.6640625" style="22" customWidth="1"/>
    <col min="15361" max="15361" width="15.6640625" style="22" customWidth="1"/>
    <col min="15362" max="15362" width="50.6640625" style="22" customWidth="1"/>
    <col min="15363" max="15363" width="9.6640625" style="22" customWidth="1"/>
    <col min="15364" max="15365" width="11.6640625" style="22" customWidth="1"/>
    <col min="15366" max="15366" width="16.6640625" style="22" customWidth="1"/>
    <col min="15367" max="15367" width="8.88671875" style="22"/>
    <col min="15368" max="15368" width="16.88671875" style="22" customWidth="1"/>
    <col min="15369" max="15615" width="8.88671875" style="22"/>
    <col min="15616" max="15616" width="12.6640625" style="22" customWidth="1"/>
    <col min="15617" max="15617" width="15.6640625" style="22" customWidth="1"/>
    <col min="15618" max="15618" width="50.6640625" style="22" customWidth="1"/>
    <col min="15619" max="15619" width="9.6640625" style="22" customWidth="1"/>
    <col min="15620" max="15621" width="11.6640625" style="22" customWidth="1"/>
    <col min="15622" max="15622" width="16.6640625" style="22" customWidth="1"/>
    <col min="15623" max="15623" width="8.88671875" style="22"/>
    <col min="15624" max="15624" width="16.88671875" style="22" customWidth="1"/>
    <col min="15625" max="15871" width="8.88671875" style="22"/>
    <col min="15872" max="15872" width="12.6640625" style="22" customWidth="1"/>
    <col min="15873" max="15873" width="15.6640625" style="22" customWidth="1"/>
    <col min="15874" max="15874" width="50.6640625" style="22" customWidth="1"/>
    <col min="15875" max="15875" width="9.6640625" style="22" customWidth="1"/>
    <col min="15876" max="15877" width="11.6640625" style="22" customWidth="1"/>
    <col min="15878" max="15878" width="16.6640625" style="22" customWidth="1"/>
    <col min="15879" max="15879" width="8.88671875" style="22"/>
    <col min="15880" max="15880" width="16.88671875" style="22" customWidth="1"/>
    <col min="15881" max="16127" width="8.88671875" style="22"/>
    <col min="16128" max="16128" width="12.6640625" style="22" customWidth="1"/>
    <col min="16129" max="16129" width="15.6640625" style="22" customWidth="1"/>
    <col min="16130" max="16130" width="50.6640625" style="22" customWidth="1"/>
    <col min="16131" max="16131" width="9.6640625" style="22" customWidth="1"/>
    <col min="16132" max="16133" width="11.6640625" style="22" customWidth="1"/>
    <col min="16134" max="16134" width="16.6640625" style="22" customWidth="1"/>
    <col min="16135" max="16135" width="8.88671875" style="22"/>
    <col min="16136" max="16136" width="16.88671875" style="22" customWidth="1"/>
    <col min="16137" max="16384" width="8.88671875" style="22"/>
  </cols>
  <sheetData>
    <row r="1" spans="1:9">
      <c r="A1" s="909" t="str">
        <f>'1-P&amp;G''s '!A1</f>
        <v>GREATER LETABA MUNICIPALITY</v>
      </c>
      <c r="B1" s="21"/>
      <c r="F1" s="999"/>
      <c r="G1" s="175"/>
    </row>
    <row r="2" spans="1:9">
      <c r="A2" s="909" t="str">
        <f>'1-P&amp;G''s '!A2</f>
        <v>CONTRACT NUMBER: GLM015/2025</v>
      </c>
      <c r="B2" s="21"/>
      <c r="C2" s="21"/>
      <c r="D2" s="23"/>
      <c r="E2" s="23"/>
      <c r="F2" s="999"/>
      <c r="G2" s="175"/>
    </row>
    <row r="3" spans="1:9">
      <c r="A3" s="909" t="str">
        <f>'1-P&amp;G''s '!A3</f>
        <v>CONSTRUCTION OF MAPHALLE LANDFILL SITE PH2</v>
      </c>
      <c r="B3" s="23"/>
      <c r="F3" s="999"/>
      <c r="G3" s="175"/>
    </row>
    <row r="4" spans="1:9">
      <c r="A4" s="909"/>
      <c r="B4" s="23"/>
      <c r="F4" s="999"/>
      <c r="G4" s="175"/>
    </row>
    <row r="5" spans="1:9">
      <c r="A5" s="909" t="s">
        <v>869</v>
      </c>
      <c r="B5" s="21"/>
      <c r="F5" s="999"/>
      <c r="G5" s="175"/>
    </row>
    <row r="6" spans="1:9" ht="14.4" thickBot="1">
      <c r="F6" s="999"/>
      <c r="G6" s="175"/>
    </row>
    <row r="7" spans="1:9" ht="15" customHeight="1">
      <c r="A7" s="2142" t="s">
        <v>111</v>
      </c>
      <c r="B7" s="2142" t="s">
        <v>112</v>
      </c>
      <c r="C7" s="2139" t="s">
        <v>2</v>
      </c>
      <c r="D7" s="910" t="s">
        <v>882</v>
      </c>
      <c r="E7" s="930" t="s">
        <v>3</v>
      </c>
      <c r="F7" s="985" t="s">
        <v>564</v>
      </c>
      <c r="G7" s="930" t="s">
        <v>5</v>
      </c>
      <c r="H7" s="930" t="s">
        <v>565</v>
      </c>
    </row>
    <row r="8" spans="1:9" ht="17.25" customHeight="1" thickBot="1">
      <c r="A8" s="2143"/>
      <c r="B8" s="2143"/>
      <c r="C8" s="2140"/>
      <c r="D8" s="911" t="s">
        <v>883</v>
      </c>
      <c r="E8" s="932"/>
      <c r="F8" s="986"/>
      <c r="G8" s="932"/>
      <c r="H8" s="932" t="s">
        <v>6</v>
      </c>
      <c r="I8" s="886"/>
    </row>
    <row r="9" spans="1:9">
      <c r="A9" s="51" t="s">
        <v>910</v>
      </c>
      <c r="B9" s="51" t="s">
        <v>1009</v>
      </c>
      <c r="C9" s="27" t="s">
        <v>194</v>
      </c>
      <c r="D9" s="51"/>
      <c r="E9" s="25"/>
      <c r="F9" s="984"/>
      <c r="G9" s="29"/>
      <c r="H9" s="995"/>
    </row>
    <row r="10" spans="1:9">
      <c r="A10" s="25"/>
      <c r="B10" s="51"/>
      <c r="C10" s="962" t="s">
        <v>994</v>
      </c>
      <c r="D10" s="51"/>
      <c r="E10" s="25"/>
      <c r="F10" s="984"/>
      <c r="G10" s="29"/>
      <c r="H10" s="995"/>
    </row>
    <row r="11" spans="1:9">
      <c r="A11" s="25"/>
      <c r="B11" s="51"/>
      <c r="C11" s="962"/>
      <c r="D11" s="51"/>
      <c r="E11" s="25"/>
      <c r="F11" s="984"/>
      <c r="G11" s="29"/>
      <c r="H11" s="995"/>
    </row>
    <row r="12" spans="1:9">
      <c r="A12" s="25" t="s">
        <v>911</v>
      </c>
      <c r="B12" s="25" t="s">
        <v>992</v>
      </c>
      <c r="C12" s="28" t="s">
        <v>117</v>
      </c>
      <c r="D12" s="24"/>
      <c r="E12" s="25" t="s">
        <v>207</v>
      </c>
      <c r="F12" s="984">
        <v>3.5</v>
      </c>
      <c r="G12" s="957"/>
      <c r="H12" s="994"/>
    </row>
    <row r="13" spans="1:9">
      <c r="A13" s="25"/>
      <c r="B13" s="25"/>
      <c r="C13" s="28"/>
      <c r="D13" s="24"/>
      <c r="E13" s="25"/>
      <c r="F13" s="984"/>
      <c r="G13" s="957"/>
      <c r="H13" s="994"/>
    </row>
    <row r="14" spans="1:9">
      <c r="A14" s="25"/>
      <c r="B14" s="25" t="s">
        <v>119</v>
      </c>
      <c r="C14" s="26" t="s">
        <v>120</v>
      </c>
      <c r="D14" s="25"/>
      <c r="E14" s="25"/>
      <c r="F14" s="984"/>
      <c r="G14" s="957"/>
      <c r="H14" s="994"/>
    </row>
    <row r="15" spans="1:9">
      <c r="A15" s="25" t="s">
        <v>912</v>
      </c>
      <c r="B15" s="25"/>
      <c r="C15" s="26" t="s">
        <v>993</v>
      </c>
      <c r="D15" s="25" t="s">
        <v>1015</v>
      </c>
      <c r="E15" s="25" t="s">
        <v>121</v>
      </c>
      <c r="F15" s="984">
        <v>10</v>
      </c>
      <c r="G15" s="957"/>
      <c r="H15" s="994"/>
    </row>
    <row r="16" spans="1:9">
      <c r="A16" s="25"/>
      <c r="B16" s="25"/>
      <c r="C16" s="28"/>
      <c r="D16" s="24"/>
      <c r="E16" s="25"/>
      <c r="F16" s="984"/>
      <c r="G16" s="957"/>
      <c r="H16" s="994"/>
    </row>
    <row r="17" spans="1:8">
      <c r="A17" s="51" t="s">
        <v>913</v>
      </c>
      <c r="B17" s="51" t="s">
        <v>1010</v>
      </c>
      <c r="C17" s="54" t="s">
        <v>1004</v>
      </c>
      <c r="D17" s="51"/>
      <c r="E17" s="25"/>
      <c r="F17" s="984"/>
      <c r="G17" s="957"/>
      <c r="H17" s="994"/>
    </row>
    <row r="18" spans="1:8">
      <c r="A18" s="25"/>
      <c r="B18" s="25"/>
      <c r="C18" s="26"/>
      <c r="D18" s="25"/>
      <c r="E18" s="25"/>
      <c r="F18" s="984"/>
      <c r="G18" s="957"/>
      <c r="H18" s="994"/>
    </row>
    <row r="19" spans="1:8" ht="16.2">
      <c r="A19" s="25" t="s">
        <v>914</v>
      </c>
      <c r="B19" s="25" t="s">
        <v>995</v>
      </c>
      <c r="C19" s="28" t="s">
        <v>1016</v>
      </c>
      <c r="D19" s="24"/>
      <c r="E19" s="25" t="s">
        <v>113</v>
      </c>
      <c r="F19" s="984">
        <f>6800-F22-F23</f>
        <v>5440</v>
      </c>
      <c r="G19" s="957"/>
      <c r="H19" s="994"/>
    </row>
    <row r="20" spans="1:8">
      <c r="A20" s="25"/>
      <c r="B20" s="25"/>
      <c r="C20" s="28"/>
      <c r="D20" s="24"/>
      <c r="E20" s="25"/>
      <c r="F20" s="984"/>
      <c r="G20" s="957"/>
      <c r="H20" s="994"/>
    </row>
    <row r="21" spans="1:8">
      <c r="A21" s="25"/>
      <c r="B21" s="25"/>
      <c r="C21" s="26" t="s">
        <v>996</v>
      </c>
      <c r="D21" s="25"/>
      <c r="E21" s="25"/>
      <c r="F21" s="984"/>
      <c r="G21" s="957"/>
      <c r="H21" s="994"/>
    </row>
    <row r="22" spans="1:8" ht="15.75" customHeight="1">
      <c r="A22" s="25" t="s">
        <v>915</v>
      </c>
      <c r="B22" s="25"/>
      <c r="C22" s="26" t="s">
        <v>997</v>
      </c>
      <c r="D22" s="25"/>
      <c r="E22" s="25" t="s">
        <v>113</v>
      </c>
      <c r="F22" s="984">
        <v>680</v>
      </c>
      <c r="G22" s="957"/>
      <c r="H22" s="994"/>
    </row>
    <row r="23" spans="1:8" ht="16.2">
      <c r="A23" s="25" t="s">
        <v>916</v>
      </c>
      <c r="B23" s="25"/>
      <c r="C23" s="26" t="s">
        <v>998</v>
      </c>
      <c r="D23" s="25"/>
      <c r="E23" s="25" t="s">
        <v>113</v>
      </c>
      <c r="F23" s="984">
        <v>680</v>
      </c>
      <c r="G23" s="957"/>
      <c r="H23" s="994"/>
    </row>
    <row r="24" spans="1:8">
      <c r="A24" s="25"/>
      <c r="B24" s="25"/>
      <c r="C24" s="28"/>
      <c r="D24" s="24"/>
      <c r="E24" s="25"/>
      <c r="F24" s="984"/>
      <c r="G24" s="957"/>
      <c r="H24" s="994"/>
    </row>
    <row r="25" spans="1:8">
      <c r="A25" s="51">
        <v>2.2999999999999998</v>
      </c>
      <c r="B25" s="51" t="s">
        <v>1011</v>
      </c>
      <c r="C25" s="27" t="s">
        <v>123</v>
      </c>
      <c r="D25" s="25"/>
      <c r="E25" s="25"/>
      <c r="F25" s="984"/>
      <c r="G25" s="957"/>
      <c r="H25" s="994"/>
    </row>
    <row r="26" spans="1:8">
      <c r="A26" s="25"/>
      <c r="B26" s="51"/>
      <c r="C26" s="962" t="s">
        <v>1006</v>
      </c>
      <c r="D26" s="25"/>
      <c r="E26" s="25"/>
      <c r="F26" s="984"/>
      <c r="G26" s="957"/>
      <c r="H26" s="994"/>
    </row>
    <row r="27" spans="1:8">
      <c r="A27" s="25"/>
      <c r="B27" s="51"/>
      <c r="C27" s="962"/>
      <c r="D27" s="25"/>
      <c r="E27" s="25"/>
      <c r="F27" s="984"/>
      <c r="G27" s="957"/>
      <c r="H27" s="994"/>
    </row>
    <row r="28" spans="1:8">
      <c r="A28" s="25"/>
      <c r="B28" s="25" t="s">
        <v>140</v>
      </c>
      <c r="C28" s="26" t="s">
        <v>1005</v>
      </c>
      <c r="D28" s="25"/>
      <c r="E28" s="25"/>
      <c r="F28" s="984"/>
      <c r="G28" s="957"/>
      <c r="H28" s="994"/>
    </row>
    <row r="29" spans="1:8" ht="16.2">
      <c r="A29" s="25" t="s">
        <v>917</v>
      </c>
      <c r="B29" s="51"/>
      <c r="C29" s="26" t="s">
        <v>1007</v>
      </c>
      <c r="D29" s="25"/>
      <c r="E29" s="25" t="s">
        <v>118</v>
      </c>
      <c r="F29" s="984">
        <f>150*210</f>
        <v>31500</v>
      </c>
      <c r="G29" s="957"/>
      <c r="H29" s="994"/>
    </row>
    <row r="30" spans="1:8">
      <c r="A30" s="25"/>
      <c r="B30" s="998"/>
      <c r="C30" s="26"/>
      <c r="D30" s="25"/>
      <c r="E30" s="25"/>
      <c r="F30" s="984"/>
      <c r="G30" s="957"/>
      <c r="H30" s="994"/>
    </row>
    <row r="31" spans="1:8" ht="27.6">
      <c r="A31" s="25" t="s">
        <v>918</v>
      </c>
      <c r="B31" s="956"/>
      <c r="C31" s="28" t="s">
        <v>1027</v>
      </c>
      <c r="D31" s="24"/>
      <c r="E31" s="25" t="s">
        <v>113</v>
      </c>
      <c r="F31" s="984">
        <f>800*0.3*0.3*1.5</f>
        <v>108</v>
      </c>
      <c r="G31" s="957"/>
      <c r="H31" s="994"/>
    </row>
    <row r="32" spans="1:8">
      <c r="A32" s="25"/>
      <c r="B32" s="51"/>
      <c r="C32" s="27"/>
      <c r="D32" s="25"/>
      <c r="E32" s="25"/>
      <c r="F32" s="984"/>
      <c r="G32" s="957"/>
      <c r="H32" s="994"/>
    </row>
    <row r="33" spans="1:8">
      <c r="A33" s="25"/>
      <c r="B33" s="51"/>
      <c r="C33" s="962" t="s">
        <v>164</v>
      </c>
      <c r="D33" s="25"/>
      <c r="E33" s="25"/>
      <c r="F33" s="984"/>
      <c r="G33" s="957"/>
      <c r="H33" s="994"/>
    </row>
    <row r="34" spans="1:8">
      <c r="A34" s="25"/>
      <c r="B34" s="51"/>
      <c r="C34" s="962"/>
      <c r="D34" s="25"/>
      <c r="E34" s="25"/>
      <c r="F34" s="984"/>
      <c r="G34" s="957"/>
      <c r="H34" s="994"/>
    </row>
    <row r="35" spans="1:8" ht="27.6">
      <c r="A35" s="25" t="s">
        <v>919</v>
      </c>
      <c r="B35" s="25" t="s">
        <v>126</v>
      </c>
      <c r="C35" s="28" t="s">
        <v>1055</v>
      </c>
      <c r="D35" s="25"/>
      <c r="E35" s="25" t="s">
        <v>113</v>
      </c>
      <c r="F35" s="984">
        <v>10</v>
      </c>
      <c r="G35" s="957"/>
      <c r="H35" s="994"/>
    </row>
    <row r="36" spans="1:8">
      <c r="A36" s="25"/>
      <c r="B36" s="25"/>
      <c r="C36" s="28"/>
      <c r="D36" s="25"/>
      <c r="E36" s="25"/>
      <c r="F36" s="984"/>
      <c r="G36" s="957"/>
      <c r="H36" s="994"/>
    </row>
    <row r="37" spans="1:8" ht="27.6">
      <c r="A37" s="25" t="s">
        <v>920</v>
      </c>
      <c r="B37" s="25" t="s">
        <v>126</v>
      </c>
      <c r="C37" s="28" t="s">
        <v>1076</v>
      </c>
      <c r="D37" s="25"/>
      <c r="E37" s="25" t="s">
        <v>113</v>
      </c>
      <c r="F37" s="984">
        <v>10</v>
      </c>
      <c r="G37" s="957"/>
      <c r="H37" s="994"/>
    </row>
    <row r="38" spans="1:8">
      <c r="A38" s="25"/>
      <c r="B38" s="25"/>
      <c r="C38" s="28"/>
      <c r="D38" s="25"/>
      <c r="E38" s="25"/>
      <c r="F38" s="984"/>
      <c r="G38" s="957"/>
      <c r="H38" s="994"/>
    </row>
    <row r="39" spans="1:8" ht="27.6">
      <c r="A39" s="25" t="s">
        <v>921</v>
      </c>
      <c r="B39" s="25" t="s">
        <v>126</v>
      </c>
      <c r="C39" s="28" t="s">
        <v>1152</v>
      </c>
      <c r="D39" s="25"/>
      <c r="E39" s="25" t="s">
        <v>113</v>
      </c>
      <c r="F39" s="984">
        <v>50</v>
      </c>
      <c r="G39" s="957"/>
      <c r="H39" s="994"/>
    </row>
    <row r="40" spans="1:8">
      <c r="A40" s="25"/>
      <c r="B40" s="956"/>
      <c r="C40" s="28"/>
      <c r="D40" s="25"/>
      <c r="E40" s="25"/>
      <c r="F40" s="984"/>
      <c r="G40" s="957"/>
      <c r="H40" s="994"/>
    </row>
    <row r="41" spans="1:8">
      <c r="A41" s="25"/>
      <c r="B41" s="956"/>
      <c r="C41" s="963" t="s">
        <v>1022</v>
      </c>
      <c r="D41" s="25"/>
      <c r="E41" s="25"/>
      <c r="F41" s="984"/>
      <c r="G41" s="957"/>
      <c r="H41" s="994"/>
    </row>
    <row r="42" spans="1:8">
      <c r="A42" s="25"/>
      <c r="B42" s="956"/>
      <c r="C42" s="963"/>
      <c r="D42" s="25"/>
      <c r="E42" s="25"/>
      <c r="F42" s="984"/>
      <c r="G42" s="957"/>
      <c r="H42" s="994"/>
    </row>
    <row r="43" spans="1:8" ht="27.6">
      <c r="A43" s="25" t="s">
        <v>922</v>
      </c>
      <c r="B43" s="956" t="s">
        <v>126</v>
      </c>
      <c r="C43" s="28" t="s">
        <v>1153</v>
      </c>
      <c r="D43" s="24"/>
      <c r="E43" s="25" t="s">
        <v>113</v>
      </c>
      <c r="F43" s="984">
        <f>24000*0.15/2</f>
        <v>1800</v>
      </c>
      <c r="G43" s="957"/>
      <c r="H43" s="994"/>
    </row>
    <row r="44" spans="1:8">
      <c r="A44" s="25"/>
      <c r="B44" s="956"/>
      <c r="C44" s="28"/>
      <c r="D44" s="24"/>
      <c r="E44" s="25"/>
      <c r="F44" s="984"/>
      <c r="G44" s="957"/>
      <c r="H44" s="994"/>
    </row>
    <row r="45" spans="1:8" ht="27.6">
      <c r="A45" s="25" t="s">
        <v>1056</v>
      </c>
      <c r="B45" s="956"/>
      <c r="C45" s="28" t="s">
        <v>1154</v>
      </c>
      <c r="D45" s="24"/>
      <c r="E45" s="25" t="s">
        <v>113</v>
      </c>
      <c r="F45" s="984">
        <f>24000*0.15/2</f>
        <v>1800</v>
      </c>
      <c r="G45" s="957"/>
      <c r="H45" s="994"/>
    </row>
    <row r="46" spans="1:8">
      <c r="A46" s="25"/>
      <c r="B46" s="956"/>
      <c r="C46" s="28"/>
      <c r="D46" s="24"/>
      <c r="E46" s="25"/>
      <c r="F46" s="984"/>
      <c r="G46" s="957"/>
      <c r="H46" s="994"/>
    </row>
    <row r="47" spans="1:8" ht="27.6">
      <c r="A47" s="25" t="s">
        <v>1057</v>
      </c>
      <c r="B47" s="956"/>
      <c r="C47" s="28" t="s">
        <v>1155</v>
      </c>
      <c r="D47" s="24"/>
      <c r="E47" s="25" t="s">
        <v>113</v>
      </c>
      <c r="F47" s="984">
        <v>1800</v>
      </c>
      <c r="G47" s="957"/>
      <c r="H47" s="994"/>
    </row>
    <row r="48" spans="1:8">
      <c r="A48" s="25"/>
      <c r="B48" s="956"/>
      <c r="C48" s="28"/>
      <c r="D48" s="24"/>
      <c r="E48" s="25"/>
      <c r="F48" s="984"/>
      <c r="G48" s="957"/>
      <c r="H48" s="994"/>
    </row>
    <row r="49" spans="1:11" ht="27.6">
      <c r="A49" s="25" t="s">
        <v>1058</v>
      </c>
      <c r="B49" s="956" t="s">
        <v>141</v>
      </c>
      <c r="C49" s="28" t="s">
        <v>1156</v>
      </c>
      <c r="D49" s="24"/>
      <c r="E49" s="25" t="s">
        <v>113</v>
      </c>
      <c r="F49" s="984">
        <f>24000*0.1/3</f>
        <v>800</v>
      </c>
      <c r="G49" s="957"/>
      <c r="H49" s="994"/>
    </row>
    <row r="50" spans="1:11">
      <c r="A50" s="25"/>
      <c r="B50" s="956"/>
      <c r="C50" s="28"/>
      <c r="D50" s="24"/>
      <c r="E50" s="25"/>
      <c r="F50" s="984"/>
      <c r="G50" s="957"/>
      <c r="H50" s="994"/>
    </row>
    <row r="51" spans="1:11" ht="27.6">
      <c r="A51" s="25" t="s">
        <v>1059</v>
      </c>
      <c r="B51" s="956"/>
      <c r="C51" s="28" t="s">
        <v>1157</v>
      </c>
      <c r="D51" s="24"/>
      <c r="E51" s="25" t="s">
        <v>113</v>
      </c>
      <c r="F51" s="984">
        <f>24000*0.1/3</f>
        <v>800</v>
      </c>
      <c r="G51" s="957"/>
      <c r="H51" s="994"/>
    </row>
    <row r="52" spans="1:11">
      <c r="A52" s="25"/>
      <c r="B52" s="956"/>
      <c r="C52" s="28"/>
      <c r="D52" s="24"/>
      <c r="E52" s="25"/>
      <c r="F52" s="984"/>
      <c r="G52" s="957"/>
      <c r="H52" s="994"/>
    </row>
    <row r="53" spans="1:11" ht="27.6">
      <c r="A53" s="25" t="s">
        <v>1060</v>
      </c>
      <c r="B53" s="956"/>
      <c r="C53" s="28" t="s">
        <v>1158</v>
      </c>
      <c r="D53" s="24"/>
      <c r="E53" s="25" t="s">
        <v>113</v>
      </c>
      <c r="F53" s="984">
        <f>24000*0.1/3</f>
        <v>800</v>
      </c>
      <c r="G53" s="957"/>
      <c r="H53" s="994"/>
    </row>
    <row r="54" spans="1:11">
      <c r="A54" s="25"/>
      <c r="B54" s="956"/>
      <c r="C54" s="28"/>
      <c r="D54" s="24"/>
      <c r="E54" s="25"/>
      <c r="F54" s="984"/>
      <c r="G54" s="957"/>
      <c r="H54" s="994"/>
    </row>
    <row r="55" spans="1:11" ht="27.6">
      <c r="A55" s="25" t="s">
        <v>1061</v>
      </c>
      <c r="B55" s="956"/>
      <c r="C55" s="28" t="s">
        <v>1159</v>
      </c>
      <c r="D55" s="24"/>
      <c r="E55" s="25" t="s">
        <v>113</v>
      </c>
      <c r="F55" s="984">
        <f>22000*0.2</f>
        <v>4400</v>
      </c>
      <c r="G55" s="957"/>
      <c r="H55" s="994"/>
      <c r="J55" s="22">
        <f>445</f>
        <v>445</v>
      </c>
    </row>
    <row r="56" spans="1:11">
      <c r="A56" s="25"/>
      <c r="B56" s="956"/>
      <c r="C56" s="28"/>
      <c r="D56" s="24"/>
      <c r="E56" s="25"/>
      <c r="F56" s="984"/>
      <c r="G56" s="957"/>
      <c r="H56" s="994"/>
    </row>
    <row r="57" spans="1:11" ht="16.2">
      <c r="A57" s="24" t="s">
        <v>1062</v>
      </c>
      <c r="B57" s="24"/>
      <c r="C57" s="961" t="s">
        <v>1160</v>
      </c>
      <c r="D57" s="24"/>
      <c r="E57" s="25" t="s">
        <v>113</v>
      </c>
      <c r="F57" s="984">
        <f>100*160*0.1</f>
        <v>1600</v>
      </c>
      <c r="G57" s="957"/>
      <c r="H57" s="994"/>
    </row>
    <row r="58" spans="1:11">
      <c r="A58" s="24"/>
      <c r="B58" s="993"/>
      <c r="C58" s="961"/>
      <c r="D58" s="24"/>
      <c r="E58" s="25"/>
      <c r="F58" s="984"/>
      <c r="G58" s="957"/>
      <c r="H58" s="994"/>
    </row>
    <row r="59" spans="1:11" ht="27.6">
      <c r="A59" s="24" t="s">
        <v>1063</v>
      </c>
      <c r="B59" s="993" t="s">
        <v>1028</v>
      </c>
      <c r="C59" s="961" t="s">
        <v>1161</v>
      </c>
      <c r="D59" s="24"/>
      <c r="E59" s="25" t="s">
        <v>1026</v>
      </c>
      <c r="F59" s="984">
        <f>((F37+F45)+(F12*10000*0.1))*20</f>
        <v>106200</v>
      </c>
      <c r="G59" s="957"/>
      <c r="H59" s="994"/>
    </row>
    <row r="60" spans="1:11">
      <c r="A60" s="25"/>
      <c r="B60" s="956"/>
      <c r="C60" s="28"/>
      <c r="D60" s="24"/>
      <c r="E60" s="25"/>
      <c r="F60" s="984"/>
      <c r="G60" s="957"/>
      <c r="H60" s="994"/>
      <c r="J60" s="22">
        <v>2.4</v>
      </c>
      <c r="K60" s="22" t="s">
        <v>1025</v>
      </c>
    </row>
    <row r="61" spans="1:11">
      <c r="A61" s="51">
        <v>2.4</v>
      </c>
      <c r="B61" s="56" t="s">
        <v>1012</v>
      </c>
      <c r="C61" s="27" t="s">
        <v>1162</v>
      </c>
      <c r="D61" s="25"/>
      <c r="E61" s="25"/>
      <c r="F61" s="984"/>
      <c r="G61" s="964"/>
      <c r="H61" s="995"/>
    </row>
    <row r="62" spans="1:11">
      <c r="A62" s="25"/>
      <c r="B62" s="25"/>
      <c r="C62" s="28"/>
      <c r="D62" s="24"/>
      <c r="E62" s="25"/>
      <c r="F62" s="984"/>
      <c r="G62" s="957"/>
      <c r="H62" s="995"/>
    </row>
    <row r="63" spans="1:11">
      <c r="A63" s="25"/>
      <c r="B63" s="24"/>
      <c r="C63" s="965" t="s">
        <v>131</v>
      </c>
      <c r="D63" s="24"/>
      <c r="E63" s="30"/>
      <c r="G63" s="957"/>
      <c r="H63" s="995"/>
    </row>
    <row r="64" spans="1:11">
      <c r="A64" s="25"/>
      <c r="B64" s="24"/>
      <c r="C64" s="965"/>
      <c r="D64" s="24"/>
      <c r="E64" s="30"/>
      <c r="G64" s="957"/>
      <c r="H64" s="995"/>
    </row>
    <row r="65" spans="1:8">
      <c r="A65" s="25"/>
      <c r="B65" s="25" t="s">
        <v>1002</v>
      </c>
      <c r="C65" s="28" t="s">
        <v>1003</v>
      </c>
      <c r="D65" s="24"/>
      <c r="E65" s="25"/>
      <c r="F65" s="984"/>
      <c r="G65" s="957"/>
      <c r="H65" s="995"/>
    </row>
    <row r="66" spans="1:8" ht="16.2">
      <c r="A66" s="25" t="s">
        <v>923</v>
      </c>
      <c r="B66" s="25"/>
      <c r="C66" s="28" t="s">
        <v>1071</v>
      </c>
      <c r="D66" s="24"/>
      <c r="E66" s="25" t="s">
        <v>118</v>
      </c>
      <c r="F66" s="984">
        <f>250*2*10.5*1.5</f>
        <v>7875</v>
      </c>
      <c r="G66" s="957"/>
      <c r="H66" s="996"/>
    </row>
    <row r="67" spans="1:8">
      <c r="A67" s="25"/>
      <c r="B67" s="25"/>
      <c r="C67" s="28"/>
      <c r="D67" s="24"/>
      <c r="E67" s="25"/>
      <c r="F67" s="984"/>
      <c r="G67" s="957"/>
      <c r="H67" s="995"/>
    </row>
    <row r="68" spans="1:8" ht="27.6">
      <c r="A68" s="25"/>
      <c r="B68" s="24" t="s">
        <v>999</v>
      </c>
      <c r="C68" s="28" t="s">
        <v>1782</v>
      </c>
      <c r="D68" s="24"/>
      <c r="E68" s="25"/>
      <c r="F68" s="984"/>
      <c r="G68" s="966"/>
      <c r="H68" s="994"/>
    </row>
    <row r="69" spans="1:8" ht="16.2">
      <c r="A69" s="25" t="s">
        <v>924</v>
      </c>
      <c r="B69" s="24"/>
      <c r="C69" s="28" t="s">
        <v>1000</v>
      </c>
      <c r="D69" s="24"/>
      <c r="E69" s="25" t="s">
        <v>113</v>
      </c>
      <c r="F69" s="984">
        <f>7500*0.5/2</f>
        <v>1875</v>
      </c>
      <c r="G69" s="966"/>
      <c r="H69" s="994"/>
    </row>
    <row r="70" spans="1:8" ht="16.2">
      <c r="A70" s="25" t="s">
        <v>1064</v>
      </c>
      <c r="B70" s="25"/>
      <c r="C70" s="28" t="s">
        <v>1001</v>
      </c>
      <c r="D70" s="24"/>
      <c r="E70" s="25" t="s">
        <v>113</v>
      </c>
      <c r="F70" s="984">
        <f>F69</f>
        <v>1875</v>
      </c>
      <c r="G70" s="966"/>
      <c r="H70" s="994"/>
    </row>
    <row r="71" spans="1:8">
      <c r="A71" s="25"/>
      <c r="B71" s="25"/>
      <c r="C71" s="28"/>
      <c r="D71" s="24"/>
      <c r="E71" s="25"/>
      <c r="F71" s="984"/>
      <c r="G71" s="966"/>
      <c r="H71" s="994"/>
    </row>
    <row r="72" spans="1:8" ht="41.4">
      <c r="A72" s="25"/>
      <c r="B72" s="25"/>
      <c r="C72" s="28" t="s">
        <v>1781</v>
      </c>
      <c r="D72" s="24"/>
      <c r="E72" s="25"/>
      <c r="F72" s="984"/>
      <c r="G72" s="957"/>
      <c r="H72" s="994"/>
    </row>
    <row r="73" spans="1:8" ht="16.2">
      <c r="A73" s="25" t="s">
        <v>1065</v>
      </c>
      <c r="B73" s="24"/>
      <c r="C73" s="28" t="s">
        <v>1000</v>
      </c>
      <c r="D73" s="24"/>
      <c r="E73" s="25" t="s">
        <v>113</v>
      </c>
      <c r="F73" s="984">
        <f>ROUNDUP((7500*0.25/2),-2)</f>
        <v>1000</v>
      </c>
      <c r="G73" s="966"/>
      <c r="H73" s="994"/>
    </row>
    <row r="74" spans="1:8" ht="16.2">
      <c r="A74" s="25" t="s">
        <v>1066</v>
      </c>
      <c r="B74" s="25"/>
      <c r="C74" s="28" t="s">
        <v>1001</v>
      </c>
      <c r="D74" s="24"/>
      <c r="E74" s="25" t="s">
        <v>113</v>
      </c>
      <c r="F74" s="984">
        <f>F73</f>
        <v>1000</v>
      </c>
      <c r="G74" s="957"/>
      <c r="H74" s="994"/>
    </row>
    <row r="75" spans="1:8">
      <c r="A75" s="25"/>
      <c r="B75" s="25"/>
      <c r="C75" s="28"/>
      <c r="D75" s="24"/>
      <c r="E75" s="25"/>
      <c r="F75" s="984"/>
      <c r="G75" s="957"/>
      <c r="H75" s="994"/>
    </row>
    <row r="76" spans="1:8" ht="63.75" customHeight="1">
      <c r="A76" s="25"/>
      <c r="B76" s="25"/>
      <c r="C76" s="28" t="s">
        <v>1165</v>
      </c>
      <c r="D76" s="24"/>
      <c r="E76" s="25"/>
      <c r="F76" s="984"/>
      <c r="G76" s="957"/>
      <c r="H76" s="994"/>
    </row>
    <row r="77" spans="1:8" ht="30" customHeight="1">
      <c r="A77" s="25" t="s">
        <v>1067</v>
      </c>
      <c r="B77" s="24"/>
      <c r="C77" s="28" t="s">
        <v>1000</v>
      </c>
      <c r="D77" s="24"/>
      <c r="E77" s="25" t="s">
        <v>113</v>
      </c>
      <c r="F77" s="984">
        <f>F73</f>
        <v>1000</v>
      </c>
      <c r="G77" s="966"/>
      <c r="H77" s="994"/>
    </row>
    <row r="78" spans="1:8" ht="16.2">
      <c r="A78" s="25" t="s">
        <v>1068</v>
      </c>
      <c r="B78" s="25"/>
      <c r="C78" s="28" t="s">
        <v>1001</v>
      </c>
      <c r="D78" s="24"/>
      <c r="E78" s="25" t="s">
        <v>113</v>
      </c>
      <c r="F78" s="984">
        <f>F74</f>
        <v>1000</v>
      </c>
      <c r="G78" s="957"/>
      <c r="H78" s="994"/>
    </row>
    <row r="79" spans="1:8">
      <c r="A79" s="25"/>
      <c r="B79" s="25"/>
      <c r="C79" s="28"/>
      <c r="D79" s="24"/>
      <c r="E79" s="25"/>
      <c r="F79" s="984"/>
      <c r="G79" s="957"/>
      <c r="H79" s="994"/>
    </row>
    <row r="80" spans="1:8" ht="27.6">
      <c r="A80" s="24" t="s">
        <v>1069</v>
      </c>
      <c r="B80" s="24"/>
      <c r="C80" s="961" t="s">
        <v>1166</v>
      </c>
      <c r="D80" s="24" t="s">
        <v>1015</v>
      </c>
      <c r="E80" s="25" t="s">
        <v>113</v>
      </c>
      <c r="F80" s="984">
        <f>(116+175)*7*0.1</f>
        <v>203.70000000000002</v>
      </c>
      <c r="G80" s="957"/>
      <c r="H80" s="994"/>
    </row>
    <row r="81" spans="1:8">
      <c r="A81" s="24"/>
      <c r="B81" s="24"/>
      <c r="C81" s="961"/>
      <c r="D81" s="24"/>
      <c r="E81" s="25"/>
      <c r="F81" s="984"/>
      <c r="G81" s="957"/>
      <c r="H81" s="994"/>
    </row>
    <row r="82" spans="1:8" ht="28.2" thickBot="1">
      <c r="A82" s="25" t="s">
        <v>1070</v>
      </c>
      <c r="B82" s="25"/>
      <c r="C82" s="28" t="s">
        <v>1029</v>
      </c>
      <c r="D82" s="24" t="s">
        <v>884</v>
      </c>
      <c r="E82" s="25" t="s">
        <v>113</v>
      </c>
      <c r="F82" s="984">
        <f>250*2*0.6*0.6*1.5</f>
        <v>270</v>
      </c>
      <c r="G82" s="957"/>
      <c r="H82" s="994"/>
    </row>
    <row r="83" spans="1:8" ht="40.5" customHeight="1" thickBot="1">
      <c r="A83" s="2146" t="s">
        <v>48</v>
      </c>
      <c r="B83" s="2147"/>
      <c r="C83" s="2147"/>
      <c r="D83" s="2147"/>
      <c r="E83" s="2147"/>
      <c r="F83" s="989"/>
      <c r="G83" s="970"/>
      <c r="H83" s="997"/>
    </row>
    <row r="84" spans="1:8">
      <c r="A84" s="971"/>
      <c r="B84" s="971"/>
      <c r="C84" s="972"/>
      <c r="D84" s="973"/>
      <c r="E84" s="971"/>
      <c r="F84" s="990"/>
      <c r="G84" s="974"/>
      <c r="H84" s="975"/>
    </row>
    <row r="85" spans="1:8" ht="14.4" thickBot="1">
      <c r="A85" s="976"/>
      <c r="B85" s="976"/>
      <c r="C85" s="977"/>
      <c r="D85" s="978"/>
      <c r="E85" s="976"/>
      <c r="F85" s="991"/>
      <c r="G85" s="979"/>
      <c r="H85" s="980"/>
    </row>
    <row r="86" spans="1:8" ht="15" customHeight="1">
      <c r="A86" s="2142" t="s">
        <v>111</v>
      </c>
      <c r="B86" s="2142" t="s">
        <v>112</v>
      </c>
      <c r="C86" s="2139" t="s">
        <v>2</v>
      </c>
      <c r="D86" s="910" t="s">
        <v>882</v>
      </c>
      <c r="E86" s="930" t="s">
        <v>3</v>
      </c>
      <c r="F86" s="985" t="s">
        <v>564</v>
      </c>
      <c r="G86" s="959" t="s">
        <v>5</v>
      </c>
      <c r="H86" s="930" t="s">
        <v>565</v>
      </c>
    </row>
    <row r="87" spans="1:8" ht="14.4" thickBot="1">
      <c r="A87" s="2143"/>
      <c r="B87" s="2143"/>
      <c r="C87" s="2140"/>
      <c r="D87" s="911" t="s">
        <v>883</v>
      </c>
      <c r="E87" s="932"/>
      <c r="F87" s="986"/>
      <c r="G87" s="960"/>
      <c r="H87" s="932" t="s">
        <v>6</v>
      </c>
    </row>
    <row r="88" spans="1:8" ht="14.4" thickBot="1">
      <c r="A88" s="2146" t="s">
        <v>49</v>
      </c>
      <c r="B88" s="2147"/>
      <c r="C88" s="2147"/>
      <c r="D88" s="2147"/>
      <c r="E88" s="2147"/>
      <c r="F88" s="989"/>
      <c r="G88" s="970"/>
      <c r="H88" s="997"/>
    </row>
    <row r="89" spans="1:8">
      <c r="A89" s="25"/>
      <c r="B89" s="25"/>
      <c r="C89" s="28"/>
      <c r="D89" s="24"/>
      <c r="E89" s="25"/>
      <c r="F89" s="984"/>
      <c r="G89" s="957"/>
      <c r="H89" s="994"/>
    </row>
    <row r="90" spans="1:8">
      <c r="A90" s="25"/>
      <c r="B90" s="25"/>
      <c r="C90" s="28"/>
      <c r="D90" s="24"/>
      <c r="E90" s="25"/>
      <c r="F90" s="984"/>
      <c r="G90" s="957"/>
      <c r="H90" s="994"/>
    </row>
    <row r="91" spans="1:8">
      <c r="A91" s="51">
        <v>2.5</v>
      </c>
      <c r="B91" s="51" t="s">
        <v>1008</v>
      </c>
      <c r="C91" s="54" t="s">
        <v>1013</v>
      </c>
      <c r="D91" s="24"/>
      <c r="E91" s="25"/>
      <c r="F91" s="984"/>
      <c r="G91" s="957"/>
      <c r="H91" s="994"/>
    </row>
    <row r="92" spans="1:8" ht="19.5" customHeight="1">
      <c r="A92" s="25"/>
      <c r="B92" s="25" t="s">
        <v>127</v>
      </c>
      <c r="C92" s="967" t="s">
        <v>1014</v>
      </c>
      <c r="D92" s="24"/>
      <c r="E92" s="25"/>
      <c r="F92" s="984"/>
      <c r="G92" s="957"/>
      <c r="H92" s="994"/>
    </row>
    <row r="93" spans="1:8" ht="51.75" customHeight="1">
      <c r="A93" s="25" t="s">
        <v>925</v>
      </c>
      <c r="B93" s="25"/>
      <c r="C93" s="28" t="s">
        <v>1030</v>
      </c>
      <c r="D93" s="24" t="s">
        <v>1015</v>
      </c>
      <c r="E93" s="25" t="s">
        <v>113</v>
      </c>
      <c r="F93" s="984">
        <f>800*0.3*0.3</f>
        <v>72</v>
      </c>
      <c r="G93" s="957"/>
      <c r="H93" s="994"/>
    </row>
    <row r="94" spans="1:8" ht="13.5" customHeight="1">
      <c r="A94" s="25"/>
      <c r="B94" s="25"/>
      <c r="C94" s="28"/>
      <c r="D94" s="1000"/>
      <c r="E94" s="25"/>
      <c r="F94" s="984"/>
      <c r="G94" s="957"/>
      <c r="H94" s="994"/>
    </row>
    <row r="95" spans="1:8" ht="16.2">
      <c r="A95" s="25" t="s">
        <v>926</v>
      </c>
      <c r="B95" s="25"/>
      <c r="C95" s="28" t="s">
        <v>1031</v>
      </c>
      <c r="D95" s="55" t="s">
        <v>1015</v>
      </c>
      <c r="E95" s="25" t="s">
        <v>113</v>
      </c>
      <c r="F95" s="984">
        <v>25</v>
      </c>
      <c r="G95" s="957"/>
      <c r="H95" s="994"/>
    </row>
    <row r="96" spans="1:8">
      <c r="A96" s="25"/>
      <c r="B96" s="25"/>
      <c r="C96" s="28"/>
      <c r="E96" s="25"/>
      <c r="F96" s="984"/>
      <c r="G96" s="957"/>
      <c r="H96" s="994"/>
    </row>
    <row r="97" spans="1:8" ht="16.2">
      <c r="A97" s="25" t="s">
        <v>1098</v>
      </c>
      <c r="B97" s="25"/>
      <c r="C97" s="28" t="s">
        <v>1032</v>
      </c>
      <c r="D97" s="24" t="s">
        <v>1015</v>
      </c>
      <c r="E97" s="25" t="s">
        <v>113</v>
      </c>
      <c r="F97" s="984">
        <f>2*2*0.2*2</f>
        <v>1.6</v>
      </c>
      <c r="G97" s="957"/>
      <c r="H97" s="994"/>
    </row>
    <row r="98" spans="1:8">
      <c r="A98" s="25"/>
      <c r="B98" s="25"/>
      <c r="C98" s="28"/>
      <c r="D98" s="24"/>
      <c r="E98" s="25"/>
      <c r="F98" s="984"/>
      <c r="G98" s="957"/>
      <c r="H98" s="994"/>
    </row>
    <row r="99" spans="1:8" ht="16.2">
      <c r="A99" s="25" t="s">
        <v>1099</v>
      </c>
      <c r="B99" s="25"/>
      <c r="C99" s="28" t="s">
        <v>1033</v>
      </c>
      <c r="D99" s="24" t="s">
        <v>1015</v>
      </c>
      <c r="E99" s="25" t="s">
        <v>972</v>
      </c>
      <c r="F99" s="984">
        <v>26</v>
      </c>
      <c r="G99" s="957"/>
      <c r="H99" s="994"/>
    </row>
    <row r="100" spans="1:8">
      <c r="A100" s="25"/>
      <c r="B100" s="25"/>
      <c r="C100" s="28"/>
      <c r="D100" s="24"/>
      <c r="E100" s="25"/>
      <c r="F100" s="984"/>
      <c r="G100" s="957"/>
      <c r="H100" s="994"/>
    </row>
    <row r="101" spans="1:8" ht="27.6">
      <c r="A101" s="67" t="s">
        <v>1100</v>
      </c>
      <c r="B101" s="25"/>
      <c r="C101" s="28" t="s">
        <v>1077</v>
      </c>
      <c r="D101" s="24" t="s">
        <v>1015</v>
      </c>
      <c r="E101" s="25" t="s">
        <v>113</v>
      </c>
      <c r="F101" s="984">
        <v>600</v>
      </c>
      <c r="G101" s="957"/>
      <c r="H101" s="994"/>
    </row>
    <row r="102" spans="1:8">
      <c r="A102" s="67"/>
      <c r="B102" s="25"/>
      <c r="C102" s="28"/>
      <c r="D102" s="24"/>
      <c r="E102" s="25"/>
      <c r="F102" s="984"/>
      <c r="G102" s="957"/>
      <c r="H102" s="994"/>
    </row>
    <row r="103" spans="1:8" ht="16.2">
      <c r="A103" s="25" t="s">
        <v>1101</v>
      </c>
      <c r="B103" s="25"/>
      <c r="C103" s="28" t="s">
        <v>1034</v>
      </c>
      <c r="D103" s="24" t="s">
        <v>1015</v>
      </c>
      <c r="E103" s="25" t="s">
        <v>113</v>
      </c>
      <c r="F103" s="984">
        <v>4</v>
      </c>
      <c r="G103" s="957"/>
      <c r="H103" s="994"/>
    </row>
    <row r="104" spans="1:8">
      <c r="A104" s="25"/>
      <c r="B104" s="25"/>
      <c r="C104" s="28"/>
      <c r="D104" s="24"/>
      <c r="E104" s="25"/>
      <c r="F104" s="984"/>
      <c r="G104" s="957"/>
      <c r="H104" s="994"/>
    </row>
    <row r="105" spans="1:8" ht="27.6">
      <c r="A105" s="25" t="s">
        <v>1102</v>
      </c>
      <c r="B105" s="25"/>
      <c r="C105" s="28" t="s">
        <v>1035</v>
      </c>
      <c r="D105" s="24" t="s">
        <v>1015</v>
      </c>
      <c r="E105" s="25" t="s">
        <v>113</v>
      </c>
      <c r="F105" s="984">
        <v>10</v>
      </c>
      <c r="G105" s="957"/>
      <c r="H105" s="994"/>
    </row>
    <row r="106" spans="1:8">
      <c r="A106" s="25"/>
      <c r="B106" s="25"/>
      <c r="C106" s="28"/>
      <c r="D106" s="24"/>
      <c r="E106" s="25"/>
      <c r="F106" s="984"/>
      <c r="G106" s="957"/>
      <c r="H106" s="995"/>
    </row>
    <row r="107" spans="1:8">
      <c r="A107" s="51">
        <v>2.6</v>
      </c>
      <c r="B107" s="51" t="s">
        <v>132</v>
      </c>
      <c r="C107" s="27" t="s">
        <v>133</v>
      </c>
      <c r="D107" s="51"/>
      <c r="E107" s="25"/>
      <c r="F107" s="984"/>
      <c r="G107" s="966"/>
      <c r="H107" s="994"/>
    </row>
    <row r="108" spans="1:8">
      <c r="A108" s="25"/>
      <c r="B108" s="25"/>
      <c r="C108" s="962" t="s">
        <v>1017</v>
      </c>
      <c r="D108" s="25"/>
      <c r="E108" s="25"/>
      <c r="F108" s="984"/>
      <c r="G108" s="966"/>
      <c r="H108" s="994"/>
    </row>
    <row r="109" spans="1:8">
      <c r="A109" s="25"/>
      <c r="B109" s="25" t="s">
        <v>134</v>
      </c>
      <c r="C109" s="26" t="s">
        <v>135</v>
      </c>
      <c r="D109" s="25"/>
      <c r="E109" s="25"/>
      <c r="F109" s="984"/>
      <c r="G109" s="966"/>
      <c r="H109" s="994"/>
    </row>
    <row r="110" spans="1:8">
      <c r="A110" s="25"/>
      <c r="B110" s="25"/>
      <c r="C110" s="28"/>
      <c r="D110" s="24"/>
      <c r="E110" s="25"/>
      <c r="F110" s="984"/>
      <c r="G110" s="966"/>
      <c r="H110" s="994"/>
    </row>
    <row r="111" spans="1:8" ht="27.6">
      <c r="A111" s="25" t="s">
        <v>927</v>
      </c>
      <c r="B111" s="25"/>
      <c r="C111" s="28" t="s">
        <v>1167</v>
      </c>
      <c r="D111" s="24" t="s">
        <v>884</v>
      </c>
      <c r="E111" s="25" t="s">
        <v>136</v>
      </c>
      <c r="F111" s="984">
        <f>800*2</f>
        <v>1600</v>
      </c>
      <c r="G111" s="966"/>
      <c r="H111" s="994"/>
    </row>
    <row r="112" spans="1:8">
      <c r="A112" s="25"/>
      <c r="B112" s="25"/>
      <c r="C112" s="28"/>
      <c r="D112" s="24"/>
      <c r="E112" s="25"/>
      <c r="F112" s="984"/>
      <c r="G112" s="966"/>
      <c r="H112" s="994"/>
    </row>
    <row r="113" spans="1:8" s="946" customFormat="1" ht="27.6">
      <c r="A113" s="25" t="s">
        <v>928</v>
      </c>
      <c r="B113" s="25"/>
      <c r="C113" s="28" t="s">
        <v>1168</v>
      </c>
      <c r="D113" s="24" t="s">
        <v>884</v>
      </c>
      <c r="E113" s="25" t="s">
        <v>136</v>
      </c>
      <c r="F113" s="984">
        <v>400</v>
      </c>
      <c r="G113" s="966"/>
      <c r="H113" s="994"/>
    </row>
    <row r="114" spans="1:8" s="946" customFormat="1">
      <c r="A114" s="25"/>
      <c r="B114" s="25"/>
      <c r="C114" s="28"/>
      <c r="D114" s="24"/>
      <c r="E114" s="25"/>
      <c r="F114" s="984"/>
      <c r="G114" s="966"/>
      <c r="H114" s="994"/>
    </row>
    <row r="115" spans="1:8" s="946" customFormat="1" ht="27.6">
      <c r="A115" s="25" t="s">
        <v>929</v>
      </c>
      <c r="B115" s="25"/>
      <c r="C115" s="28" t="s">
        <v>1036</v>
      </c>
      <c r="D115" s="24" t="s">
        <v>1020</v>
      </c>
      <c r="E115" s="25" t="s">
        <v>138</v>
      </c>
      <c r="F115" s="984">
        <v>1</v>
      </c>
      <c r="G115" s="966"/>
      <c r="H115" s="994"/>
    </row>
    <row r="116" spans="1:8" s="946" customFormat="1">
      <c r="A116" s="25"/>
      <c r="B116" s="25"/>
      <c r="C116" s="28"/>
      <c r="D116" s="24"/>
      <c r="E116" s="25"/>
      <c r="F116" s="984"/>
      <c r="G116" s="966"/>
      <c r="H116" s="994"/>
    </row>
    <row r="117" spans="1:8" s="946" customFormat="1" ht="16.2">
      <c r="A117" s="25" t="s">
        <v>930</v>
      </c>
      <c r="B117" s="25"/>
      <c r="C117" s="28" t="s">
        <v>1037</v>
      </c>
      <c r="D117" s="24" t="s">
        <v>1015</v>
      </c>
      <c r="E117" s="25" t="s">
        <v>113</v>
      </c>
      <c r="F117" s="984">
        <f>2*2*0.2</f>
        <v>0.8</v>
      </c>
      <c r="G117" s="966"/>
      <c r="H117" s="994"/>
    </row>
    <row r="118" spans="1:8" s="946" customFormat="1">
      <c r="A118" s="25"/>
      <c r="B118" s="25"/>
      <c r="C118" s="28"/>
      <c r="D118" s="24"/>
      <c r="E118" s="25"/>
      <c r="F118" s="984"/>
      <c r="G118" s="966"/>
      <c r="H118" s="994"/>
    </row>
    <row r="119" spans="1:8" s="946" customFormat="1">
      <c r="A119" s="25" t="s">
        <v>931</v>
      </c>
      <c r="B119" s="25"/>
      <c r="C119" s="28" t="s">
        <v>1038</v>
      </c>
      <c r="D119" s="24" t="s">
        <v>1015</v>
      </c>
      <c r="E119" s="25" t="s">
        <v>138</v>
      </c>
      <c r="F119" s="984">
        <v>4</v>
      </c>
      <c r="G119" s="966"/>
      <c r="H119" s="994"/>
    </row>
    <row r="120" spans="1:8" s="946" customFormat="1">
      <c r="A120" s="25"/>
      <c r="B120" s="25"/>
      <c r="C120" s="28"/>
      <c r="D120" s="24"/>
      <c r="E120" s="25"/>
      <c r="F120" s="984"/>
      <c r="G120" s="966"/>
      <c r="H120" s="994"/>
    </row>
    <row r="121" spans="1:8" s="946" customFormat="1">
      <c r="A121" s="25" t="s">
        <v>1103</v>
      </c>
      <c r="B121" s="25"/>
      <c r="C121" s="28" t="s">
        <v>1039</v>
      </c>
      <c r="D121" s="24" t="s">
        <v>1015</v>
      </c>
      <c r="E121" s="25" t="s">
        <v>1018</v>
      </c>
      <c r="F121" s="984">
        <v>4</v>
      </c>
      <c r="G121" s="966"/>
      <c r="H121" s="994"/>
    </row>
    <row r="122" spans="1:8" s="946" customFormat="1">
      <c r="A122" s="25"/>
      <c r="B122" s="25"/>
      <c r="C122" s="28"/>
      <c r="D122" s="24"/>
      <c r="E122" s="25"/>
      <c r="F122" s="984"/>
      <c r="G122" s="966"/>
      <c r="H122" s="994"/>
    </row>
    <row r="123" spans="1:8" s="946" customFormat="1">
      <c r="A123" s="25"/>
      <c r="B123" s="25" t="s">
        <v>1040</v>
      </c>
      <c r="C123" s="963" t="s">
        <v>1019</v>
      </c>
      <c r="D123" s="24"/>
      <c r="E123" s="25"/>
      <c r="F123" s="984"/>
      <c r="G123" s="966"/>
      <c r="H123" s="994"/>
    </row>
    <row r="124" spans="1:8" s="946" customFormat="1">
      <c r="A124" s="25"/>
      <c r="B124" s="25"/>
      <c r="C124" s="963"/>
      <c r="D124" s="24"/>
      <c r="E124" s="25"/>
      <c r="F124" s="984"/>
      <c r="G124" s="966"/>
      <c r="H124" s="994"/>
    </row>
    <row r="125" spans="1:8" s="946" customFormat="1">
      <c r="A125" s="25" t="s">
        <v>1104</v>
      </c>
      <c r="B125" s="25"/>
      <c r="C125" s="28" t="s">
        <v>1042</v>
      </c>
      <c r="D125" s="24"/>
      <c r="E125" s="25"/>
      <c r="F125" s="984"/>
      <c r="G125" s="966"/>
      <c r="H125" s="994"/>
    </row>
    <row r="126" spans="1:8" s="946" customFormat="1">
      <c r="A126" s="25"/>
      <c r="B126" s="25"/>
      <c r="C126" s="28"/>
      <c r="D126" s="24"/>
      <c r="E126" s="25"/>
      <c r="F126" s="984"/>
      <c r="G126" s="966"/>
      <c r="H126" s="994"/>
    </row>
    <row r="127" spans="1:8" s="946" customFormat="1">
      <c r="A127" s="25" t="s">
        <v>1105</v>
      </c>
      <c r="B127" s="25"/>
      <c r="C127" s="28" t="s">
        <v>1043</v>
      </c>
      <c r="D127" s="24" t="s">
        <v>1015</v>
      </c>
      <c r="E127" s="25" t="s">
        <v>138</v>
      </c>
      <c r="F127" s="984">
        <v>2</v>
      </c>
      <c r="G127" s="966"/>
      <c r="H127" s="994"/>
    </row>
    <row r="128" spans="1:8" s="946" customFormat="1">
      <c r="A128" s="25"/>
      <c r="B128" s="25"/>
      <c r="C128" s="28"/>
      <c r="D128" s="24"/>
      <c r="E128" s="25"/>
      <c r="F128" s="984"/>
      <c r="G128" s="966"/>
      <c r="H128" s="994"/>
    </row>
    <row r="129" spans="1:10" s="946" customFormat="1" ht="27.6">
      <c r="A129" s="25" t="s">
        <v>1106</v>
      </c>
      <c r="B129" s="25"/>
      <c r="C129" s="28" t="s">
        <v>1041</v>
      </c>
      <c r="D129" s="24" t="s">
        <v>1015</v>
      </c>
      <c r="E129" s="25" t="s">
        <v>138</v>
      </c>
      <c r="F129" s="984">
        <v>2</v>
      </c>
      <c r="G129" s="966"/>
      <c r="H129" s="994"/>
    </row>
    <row r="130" spans="1:10" s="946" customFormat="1">
      <c r="A130" s="25"/>
      <c r="B130" s="25"/>
      <c r="C130" s="28"/>
      <c r="D130" s="24"/>
      <c r="E130" s="25"/>
      <c r="F130" s="984"/>
      <c r="G130" s="966"/>
      <c r="H130" s="994"/>
    </row>
    <row r="131" spans="1:10" s="946" customFormat="1" ht="27.6">
      <c r="A131" s="25" t="s">
        <v>1107</v>
      </c>
      <c r="B131" s="25"/>
      <c r="C131" s="28" t="s">
        <v>1044</v>
      </c>
      <c r="D131" s="24" t="s">
        <v>1015</v>
      </c>
      <c r="E131" s="25" t="s">
        <v>113</v>
      </c>
      <c r="F131" s="984">
        <f>2*2*0.2*2</f>
        <v>1.6</v>
      </c>
      <c r="G131" s="966"/>
      <c r="H131" s="994"/>
    </row>
    <row r="132" spans="1:10" s="946" customFormat="1">
      <c r="A132" s="25"/>
      <c r="B132" s="25"/>
      <c r="C132" s="28"/>
      <c r="D132" s="24"/>
      <c r="E132" s="25"/>
      <c r="F132" s="984"/>
      <c r="G132" s="966"/>
      <c r="H132" s="994"/>
    </row>
    <row r="133" spans="1:10">
      <c r="A133" s="51">
        <v>2.7</v>
      </c>
      <c r="B133" s="25" t="s">
        <v>137</v>
      </c>
      <c r="C133" s="963" t="s">
        <v>1021</v>
      </c>
      <c r="D133" s="56"/>
      <c r="E133" s="25"/>
      <c r="F133" s="984"/>
      <c r="G133" s="966"/>
      <c r="H133" s="994"/>
    </row>
    <row r="134" spans="1:10">
      <c r="A134" s="25"/>
      <c r="B134" s="25"/>
      <c r="C134" s="28"/>
      <c r="D134" s="24"/>
      <c r="E134" s="25"/>
      <c r="F134" s="984"/>
      <c r="G134" s="966"/>
      <c r="H134" s="994"/>
    </row>
    <row r="135" spans="1:10" ht="27.6">
      <c r="A135" s="25" t="s">
        <v>1053</v>
      </c>
      <c r="B135" s="25"/>
      <c r="C135" s="28" t="s">
        <v>1045</v>
      </c>
      <c r="D135" s="24" t="s">
        <v>884</v>
      </c>
      <c r="E135" s="25" t="s">
        <v>138</v>
      </c>
      <c r="F135" s="984">
        <v>1</v>
      </c>
      <c r="G135" s="966"/>
      <c r="H135" s="994"/>
    </row>
    <row r="136" spans="1:10">
      <c r="A136" s="25"/>
      <c r="B136" s="25"/>
      <c r="C136" s="28"/>
      <c r="D136" s="24"/>
      <c r="E136" s="25"/>
      <c r="F136" s="984"/>
      <c r="G136" s="966"/>
      <c r="H136" s="994"/>
    </row>
    <row r="137" spans="1:10">
      <c r="A137" s="25" t="s">
        <v>1054</v>
      </c>
      <c r="B137" s="25"/>
      <c r="C137" s="28" t="s">
        <v>1046</v>
      </c>
      <c r="D137" s="24" t="s">
        <v>884</v>
      </c>
      <c r="E137" s="25" t="s">
        <v>138</v>
      </c>
      <c r="F137" s="984">
        <v>1</v>
      </c>
      <c r="G137" s="966"/>
      <c r="H137" s="994"/>
    </row>
    <row r="138" spans="1:10">
      <c r="A138" s="25"/>
      <c r="B138" s="25"/>
      <c r="C138" s="28"/>
      <c r="D138" s="24"/>
      <c r="E138" s="25"/>
      <c r="F138" s="984"/>
      <c r="G138" s="966"/>
      <c r="H138" s="994"/>
    </row>
    <row r="139" spans="1:10">
      <c r="A139" s="51">
        <v>2.8</v>
      </c>
      <c r="B139" s="51" t="s">
        <v>1047</v>
      </c>
      <c r="C139" s="54" t="s">
        <v>1023</v>
      </c>
      <c r="D139" s="56"/>
      <c r="E139" s="25"/>
      <c r="F139" s="984"/>
      <c r="G139" s="957"/>
      <c r="H139" s="995"/>
    </row>
    <row r="140" spans="1:10">
      <c r="A140" s="25"/>
      <c r="B140" s="25"/>
      <c r="C140" s="28"/>
      <c r="D140" s="24"/>
      <c r="E140" s="25"/>
      <c r="F140" s="984"/>
      <c r="G140" s="957"/>
      <c r="H140" s="995"/>
    </row>
    <row r="141" spans="1:10" ht="55.2">
      <c r="A141" s="25"/>
      <c r="B141" s="956" t="s">
        <v>1048</v>
      </c>
      <c r="C141" s="963" t="s">
        <v>1024</v>
      </c>
      <c r="D141" s="24"/>
      <c r="E141" s="47"/>
      <c r="F141" s="984"/>
      <c r="G141" s="957"/>
      <c r="H141" s="994"/>
    </row>
    <row r="142" spans="1:10">
      <c r="A142" s="25"/>
      <c r="B142" s="956"/>
      <c r="C142" s="963"/>
      <c r="D142" s="24"/>
      <c r="E142" s="47"/>
      <c r="F142" s="984"/>
      <c r="G142" s="957"/>
      <c r="H142" s="994"/>
    </row>
    <row r="143" spans="1:10" ht="27.6">
      <c r="A143" s="25" t="s">
        <v>1108</v>
      </c>
      <c r="B143" s="956"/>
      <c r="C143" s="28" t="s">
        <v>1169</v>
      </c>
      <c r="D143" s="24" t="s">
        <v>884</v>
      </c>
      <c r="E143" s="25" t="s">
        <v>118</v>
      </c>
      <c r="F143" s="984">
        <f>1.2*800</f>
        <v>960</v>
      </c>
      <c r="G143" s="957"/>
      <c r="H143" s="994"/>
      <c r="J143" s="22">
        <f>1500*0.3*4</f>
        <v>1800</v>
      </c>
    </row>
    <row r="144" spans="1:10">
      <c r="A144" s="25"/>
      <c r="C144" s="28"/>
      <c r="D144" s="24"/>
      <c r="E144" s="25"/>
      <c r="F144" s="984"/>
      <c r="G144" s="957"/>
      <c r="H144" s="994"/>
    </row>
    <row r="145" spans="1:8" ht="27.6">
      <c r="A145" s="25" t="s">
        <v>1109</v>
      </c>
      <c r="B145" s="981"/>
      <c r="C145" s="982" t="s">
        <v>1049</v>
      </c>
      <c r="D145" s="24" t="s">
        <v>1015</v>
      </c>
      <c r="E145" s="25" t="s">
        <v>118</v>
      </c>
      <c r="F145" s="984">
        <v>22000</v>
      </c>
      <c r="G145" s="957"/>
      <c r="H145" s="994"/>
    </row>
    <row r="146" spans="1:8">
      <c r="A146" s="25"/>
      <c r="B146" s="981"/>
      <c r="C146" s="982"/>
      <c r="D146" s="24"/>
      <c r="E146" s="25"/>
      <c r="F146" s="984"/>
      <c r="G146" s="957"/>
      <c r="H146" s="994"/>
    </row>
    <row r="147" spans="1:8" ht="27.6">
      <c r="A147" s="25" t="s">
        <v>1110</v>
      </c>
      <c r="B147" s="981"/>
      <c r="C147" s="982" t="s">
        <v>1050</v>
      </c>
      <c r="D147" s="24" t="s">
        <v>1015</v>
      </c>
      <c r="E147" s="25" t="s">
        <v>118</v>
      </c>
      <c r="F147" s="992">
        <v>25000</v>
      </c>
      <c r="G147" s="957"/>
      <c r="H147" s="994"/>
    </row>
    <row r="148" spans="1:8">
      <c r="A148" s="25"/>
      <c r="B148" s="981"/>
      <c r="C148" s="982"/>
      <c r="D148" s="24"/>
      <c r="E148" s="25"/>
      <c r="F148" s="992"/>
      <c r="G148" s="957"/>
      <c r="H148" s="994"/>
    </row>
    <row r="149" spans="1:8" ht="30">
      <c r="A149" s="25" t="s">
        <v>1111</v>
      </c>
      <c r="B149" s="956"/>
      <c r="C149" s="28" t="s">
        <v>1051</v>
      </c>
      <c r="D149" s="24" t="s">
        <v>884</v>
      </c>
      <c r="E149" s="25" t="s">
        <v>118</v>
      </c>
      <c r="F149" s="984">
        <f>F145</f>
        <v>22000</v>
      </c>
      <c r="G149" s="957"/>
      <c r="H149" s="994"/>
    </row>
    <row r="150" spans="1:8">
      <c r="A150" s="25"/>
      <c r="B150" s="956"/>
      <c r="C150" s="28"/>
      <c r="D150" s="24"/>
      <c r="E150" s="25"/>
      <c r="F150" s="984"/>
      <c r="G150" s="957"/>
      <c r="H150" s="994"/>
    </row>
    <row r="151" spans="1:8" ht="16.2">
      <c r="A151" s="25" t="s">
        <v>1112</v>
      </c>
      <c r="B151" s="956"/>
      <c r="C151" s="28" t="s">
        <v>1072</v>
      </c>
      <c r="D151" s="24" t="s">
        <v>884</v>
      </c>
      <c r="E151" s="25" t="s">
        <v>118</v>
      </c>
      <c r="F151" s="984">
        <f t="shared" ref="F151" si="0">F147</f>
        <v>25000</v>
      </c>
      <c r="G151" s="957"/>
      <c r="H151" s="994"/>
    </row>
    <row r="152" spans="1:8">
      <c r="A152" s="25"/>
      <c r="B152" s="956"/>
      <c r="C152" s="28"/>
      <c r="D152" s="24"/>
      <c r="E152" s="25"/>
      <c r="F152" s="984"/>
      <c r="G152" s="957"/>
      <c r="H152" s="994"/>
    </row>
    <row r="153" spans="1:8">
      <c r="A153" s="25" t="s">
        <v>1113</v>
      </c>
      <c r="B153" s="956"/>
      <c r="C153" s="28" t="s">
        <v>1073</v>
      </c>
      <c r="D153" s="24" t="s">
        <v>1015</v>
      </c>
      <c r="E153" s="25" t="s">
        <v>1018</v>
      </c>
      <c r="F153" s="984">
        <v>3</v>
      </c>
      <c r="G153" s="957"/>
      <c r="H153" s="994"/>
    </row>
    <row r="154" spans="1:8">
      <c r="A154" s="25"/>
      <c r="B154" s="956"/>
      <c r="C154" s="28"/>
      <c r="D154" s="24"/>
      <c r="E154" s="25"/>
      <c r="F154" s="984"/>
      <c r="G154" s="957"/>
      <c r="H154" s="994"/>
    </row>
    <row r="155" spans="1:8">
      <c r="A155" s="25" t="s">
        <v>1114</v>
      </c>
      <c r="B155" s="956"/>
      <c r="C155" s="28" t="s">
        <v>1074</v>
      </c>
      <c r="D155" s="24" t="s">
        <v>1015</v>
      </c>
      <c r="E155" s="25" t="s">
        <v>138</v>
      </c>
      <c r="F155" s="984">
        <v>3</v>
      </c>
      <c r="G155" s="957"/>
      <c r="H155" s="996"/>
    </row>
    <row r="156" spans="1:8">
      <c r="A156" s="25"/>
      <c r="B156" s="956"/>
      <c r="C156" s="28"/>
      <c r="D156" s="24"/>
      <c r="E156" s="25"/>
      <c r="F156" s="984"/>
      <c r="G156" s="957"/>
      <c r="H156" s="996"/>
    </row>
    <row r="157" spans="1:8" ht="16.2">
      <c r="A157" s="25" t="s">
        <v>1115</v>
      </c>
      <c r="B157" s="956" t="s">
        <v>1052</v>
      </c>
      <c r="C157" s="28" t="s">
        <v>1149</v>
      </c>
      <c r="D157" s="24" t="s">
        <v>1015</v>
      </c>
      <c r="E157" s="25" t="s">
        <v>118</v>
      </c>
      <c r="F157" s="984">
        <f>30*50</f>
        <v>1500</v>
      </c>
      <c r="G157" s="957"/>
      <c r="H157" s="996"/>
    </row>
    <row r="158" spans="1:8">
      <c r="A158" s="25"/>
      <c r="B158" s="956"/>
      <c r="C158" s="28"/>
      <c r="D158" s="24"/>
      <c r="E158" s="25"/>
      <c r="F158" s="984"/>
      <c r="G158" s="957"/>
      <c r="H158" s="26"/>
    </row>
    <row r="159" spans="1:8">
      <c r="A159" s="25"/>
      <c r="B159" s="956"/>
      <c r="C159" s="28"/>
      <c r="D159" s="24"/>
      <c r="E159" s="25"/>
      <c r="F159" s="984"/>
      <c r="G159" s="957"/>
      <c r="H159" s="26"/>
    </row>
    <row r="160" spans="1:8">
      <c r="A160" s="25"/>
      <c r="B160" s="956"/>
      <c r="C160" s="28"/>
      <c r="D160" s="24"/>
      <c r="E160" s="25"/>
      <c r="F160" s="984"/>
      <c r="G160" s="957"/>
      <c r="H160" s="26"/>
    </row>
    <row r="161" spans="1:12">
      <c r="A161" s="30"/>
      <c r="B161" s="956"/>
      <c r="C161" s="28"/>
      <c r="D161" s="24"/>
      <c r="E161" s="25"/>
      <c r="F161" s="984"/>
      <c r="G161" s="957"/>
      <c r="H161" s="26"/>
    </row>
    <row r="162" spans="1:12">
      <c r="A162" s="25"/>
      <c r="B162" s="956"/>
      <c r="C162" s="28"/>
      <c r="D162" s="24"/>
      <c r="E162" s="25"/>
      <c r="F162" s="984"/>
      <c r="G162" s="957"/>
      <c r="H162" s="26"/>
    </row>
    <row r="163" spans="1:12">
      <c r="A163" s="25"/>
      <c r="B163" s="956"/>
      <c r="C163" s="28"/>
      <c r="D163" s="24"/>
      <c r="E163" s="25"/>
      <c r="F163" s="984"/>
      <c r="G163" s="957"/>
      <c r="H163" s="26"/>
    </row>
    <row r="164" spans="1:12">
      <c r="A164" s="25"/>
      <c r="B164" s="956"/>
      <c r="C164" s="28"/>
      <c r="D164" s="24"/>
      <c r="E164" s="25"/>
      <c r="F164" s="984"/>
      <c r="G164" s="957"/>
      <c r="H164" s="26"/>
    </row>
    <row r="165" spans="1:12">
      <c r="A165" s="25"/>
      <c r="B165" s="956"/>
      <c r="C165" s="28"/>
      <c r="D165" s="24"/>
      <c r="E165" s="25"/>
      <c r="F165" s="984"/>
      <c r="G165" s="957"/>
      <c r="H165" s="26"/>
    </row>
    <row r="166" spans="1:12">
      <c r="A166" s="25"/>
      <c r="B166" s="956"/>
      <c r="C166" s="28"/>
      <c r="D166" s="24"/>
      <c r="E166" s="25"/>
      <c r="F166" s="984"/>
      <c r="G166" s="957"/>
      <c r="H166" s="26"/>
    </row>
    <row r="167" spans="1:12">
      <c r="A167" s="25"/>
      <c r="B167" s="956"/>
      <c r="C167" s="28"/>
      <c r="D167" s="24"/>
      <c r="E167" s="25"/>
      <c r="F167" s="984"/>
      <c r="G167" s="957"/>
      <c r="H167" s="26"/>
    </row>
    <row r="168" spans="1:12">
      <c r="A168" s="25"/>
      <c r="B168" s="956"/>
      <c r="C168" s="28"/>
      <c r="D168" s="24"/>
      <c r="E168" s="25"/>
      <c r="F168" s="984"/>
      <c r="G168" s="957"/>
      <c r="H168" s="26"/>
    </row>
    <row r="169" spans="1:12" ht="14.4" thickBot="1">
      <c r="A169" s="914"/>
      <c r="B169" s="983"/>
      <c r="C169" s="968"/>
      <c r="D169" s="969"/>
      <c r="E169" s="914"/>
      <c r="F169" s="988"/>
      <c r="G169" s="958"/>
      <c r="H169" s="915"/>
    </row>
    <row r="170" spans="1:12" ht="39.75" customHeight="1" thickBot="1">
      <c r="A170" s="2146" t="s">
        <v>139</v>
      </c>
      <c r="B170" s="2147"/>
      <c r="C170" s="2147"/>
      <c r="D170" s="2147"/>
      <c r="E170" s="2147"/>
      <c r="F170" s="989"/>
      <c r="G170" s="190"/>
      <c r="H170" s="997"/>
      <c r="I170" s="55"/>
      <c r="J170" s="55"/>
      <c r="K170" s="55"/>
      <c r="L170" s="55"/>
    </row>
    <row r="171" spans="1:12">
      <c r="A171" s="22"/>
      <c r="B171" s="22"/>
      <c r="G171" s="176"/>
    </row>
    <row r="172" spans="1:12">
      <c r="A172" s="22"/>
      <c r="B172" s="22"/>
      <c r="G172" s="176"/>
    </row>
    <row r="173" spans="1:12">
      <c r="A173" s="22"/>
      <c r="B173" s="22"/>
      <c r="G173" s="176"/>
    </row>
    <row r="174" spans="1:12">
      <c r="A174" s="22"/>
    </row>
  </sheetData>
  <mergeCells count="9">
    <mergeCell ref="A7:A8"/>
    <mergeCell ref="B7:B8"/>
    <mergeCell ref="C7:C8"/>
    <mergeCell ref="A88:E88"/>
    <mergeCell ref="A170:E170"/>
    <mergeCell ref="A83:E83"/>
    <mergeCell ref="A86:A87"/>
    <mergeCell ref="B86:B87"/>
    <mergeCell ref="C86:C87"/>
  </mergeCells>
  <phoneticPr fontId="78" type="noConversion"/>
  <pageMargins left="0.70866141732283472" right="0.70866141732283472" top="0.74803149606299213" bottom="0.74803149606299213" header="0.31496062992125984" footer="0.31496062992125984"/>
  <pageSetup paperSize="9" scale="45" firstPageNumber="5" fitToHeight="0" orientation="portrait" r:id="rId1"/>
  <headerFooter scaleWithDoc="0" alignWithMargins="0">
    <oddHeader>&amp;C&amp;"Arial Narrow,Regular"&amp;10C80.5</oddHeader>
  </headerFooter>
  <rowBreaks count="1" manualBreakCount="1">
    <brk id="8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8"/>
  <sheetViews>
    <sheetView view="pageBreakPreview" topLeftCell="A55" zoomScaleNormal="100" zoomScaleSheetLayoutView="100" workbookViewId="0">
      <selection activeCell="G90" sqref="G90"/>
    </sheetView>
  </sheetViews>
  <sheetFormatPr defaultColWidth="8.88671875" defaultRowHeight="13.8"/>
  <cols>
    <col min="1" max="1" width="12.6640625" style="55" customWidth="1"/>
    <col min="2" max="2" width="17.44140625" style="55" customWidth="1"/>
    <col min="3" max="3" width="79.44140625" style="22" customWidth="1"/>
    <col min="4" max="5" width="15.6640625" style="55" customWidth="1"/>
    <col min="6" max="6" width="15.6640625" style="987" customWidth="1"/>
    <col min="7" max="7" width="15.6640625" style="52" customWidth="1"/>
    <col min="8" max="8" width="20.5546875" style="22" bestFit="1" customWidth="1"/>
    <col min="9" max="9" width="11.33203125" style="22" customWidth="1"/>
    <col min="10" max="10" width="37.44140625" style="22" customWidth="1"/>
    <col min="11" max="255" width="8.88671875" style="22"/>
    <col min="256" max="256" width="12.6640625" style="22" customWidth="1"/>
    <col min="257" max="257" width="15.6640625" style="22" customWidth="1"/>
    <col min="258" max="258" width="50.6640625" style="22" customWidth="1"/>
    <col min="259" max="259" width="9.6640625" style="22" customWidth="1"/>
    <col min="260" max="261" width="11.6640625" style="22" customWidth="1"/>
    <col min="262" max="262" width="16.6640625" style="22" customWidth="1"/>
    <col min="263" max="263" width="8.88671875" style="22"/>
    <col min="264" max="264" width="16.88671875" style="22" customWidth="1"/>
    <col min="265" max="511" width="8.88671875" style="22"/>
    <col min="512" max="512" width="12.6640625" style="22" customWidth="1"/>
    <col min="513" max="513" width="15.6640625" style="22" customWidth="1"/>
    <col min="514" max="514" width="50.6640625" style="22" customWidth="1"/>
    <col min="515" max="515" width="9.6640625" style="22" customWidth="1"/>
    <col min="516" max="517" width="11.6640625" style="22" customWidth="1"/>
    <col min="518" max="518" width="16.6640625" style="22" customWidth="1"/>
    <col min="519" max="519" width="8.88671875" style="22"/>
    <col min="520" max="520" width="16.88671875" style="22" customWidth="1"/>
    <col min="521" max="767" width="8.88671875" style="22"/>
    <col min="768" max="768" width="12.6640625" style="22" customWidth="1"/>
    <col min="769" max="769" width="15.6640625" style="22" customWidth="1"/>
    <col min="770" max="770" width="50.6640625" style="22" customWidth="1"/>
    <col min="771" max="771" width="9.6640625" style="22" customWidth="1"/>
    <col min="772" max="773" width="11.6640625" style="22" customWidth="1"/>
    <col min="774" max="774" width="16.6640625" style="22" customWidth="1"/>
    <col min="775" max="775" width="8.88671875" style="22"/>
    <col min="776" max="776" width="16.88671875" style="22" customWidth="1"/>
    <col min="777" max="1023" width="8.88671875" style="22"/>
    <col min="1024" max="1024" width="12.6640625" style="22" customWidth="1"/>
    <col min="1025" max="1025" width="15.6640625" style="22" customWidth="1"/>
    <col min="1026" max="1026" width="50.6640625" style="22" customWidth="1"/>
    <col min="1027" max="1027" width="9.6640625" style="22" customWidth="1"/>
    <col min="1028" max="1029" width="11.6640625" style="22" customWidth="1"/>
    <col min="1030" max="1030" width="16.6640625" style="22" customWidth="1"/>
    <col min="1031" max="1031" width="8.88671875" style="22"/>
    <col min="1032" max="1032" width="16.88671875" style="22" customWidth="1"/>
    <col min="1033" max="1279" width="8.88671875" style="22"/>
    <col min="1280" max="1280" width="12.6640625" style="22" customWidth="1"/>
    <col min="1281" max="1281" width="15.6640625" style="22" customWidth="1"/>
    <col min="1282" max="1282" width="50.6640625" style="22" customWidth="1"/>
    <col min="1283" max="1283" width="9.6640625" style="22" customWidth="1"/>
    <col min="1284" max="1285" width="11.6640625" style="22" customWidth="1"/>
    <col min="1286" max="1286" width="16.6640625" style="22" customWidth="1"/>
    <col min="1287" max="1287" width="8.88671875" style="22"/>
    <col min="1288" max="1288" width="16.88671875" style="22" customWidth="1"/>
    <col min="1289" max="1535" width="8.88671875" style="22"/>
    <col min="1536" max="1536" width="12.6640625" style="22" customWidth="1"/>
    <col min="1537" max="1537" width="15.6640625" style="22" customWidth="1"/>
    <col min="1538" max="1538" width="50.6640625" style="22" customWidth="1"/>
    <col min="1539" max="1539" width="9.6640625" style="22" customWidth="1"/>
    <col min="1540" max="1541" width="11.6640625" style="22" customWidth="1"/>
    <col min="1542" max="1542" width="16.6640625" style="22" customWidth="1"/>
    <col min="1543" max="1543" width="8.88671875" style="22"/>
    <col min="1544" max="1544" width="16.88671875" style="22" customWidth="1"/>
    <col min="1545" max="1791" width="8.88671875" style="22"/>
    <col min="1792" max="1792" width="12.6640625" style="22" customWidth="1"/>
    <col min="1793" max="1793" width="15.6640625" style="22" customWidth="1"/>
    <col min="1794" max="1794" width="50.6640625" style="22" customWidth="1"/>
    <col min="1795" max="1795" width="9.6640625" style="22" customWidth="1"/>
    <col min="1796" max="1797" width="11.6640625" style="22" customWidth="1"/>
    <col min="1798" max="1798" width="16.6640625" style="22" customWidth="1"/>
    <col min="1799" max="1799" width="8.88671875" style="22"/>
    <col min="1800" max="1800" width="16.88671875" style="22" customWidth="1"/>
    <col min="1801" max="2047" width="8.88671875" style="22"/>
    <col min="2048" max="2048" width="12.6640625" style="22" customWidth="1"/>
    <col min="2049" max="2049" width="15.6640625" style="22" customWidth="1"/>
    <col min="2050" max="2050" width="50.6640625" style="22" customWidth="1"/>
    <col min="2051" max="2051" width="9.6640625" style="22" customWidth="1"/>
    <col min="2052" max="2053" width="11.6640625" style="22" customWidth="1"/>
    <col min="2054" max="2054" width="16.6640625" style="22" customWidth="1"/>
    <col min="2055" max="2055" width="8.88671875" style="22"/>
    <col min="2056" max="2056" width="16.88671875" style="22" customWidth="1"/>
    <col min="2057" max="2303" width="8.88671875" style="22"/>
    <col min="2304" max="2304" width="12.6640625" style="22" customWidth="1"/>
    <col min="2305" max="2305" width="15.6640625" style="22" customWidth="1"/>
    <col min="2306" max="2306" width="50.6640625" style="22" customWidth="1"/>
    <col min="2307" max="2307" width="9.6640625" style="22" customWidth="1"/>
    <col min="2308" max="2309" width="11.6640625" style="22" customWidth="1"/>
    <col min="2310" max="2310" width="16.6640625" style="22" customWidth="1"/>
    <col min="2311" max="2311" width="8.88671875" style="22"/>
    <col min="2312" max="2312" width="16.88671875" style="22" customWidth="1"/>
    <col min="2313" max="2559" width="8.88671875" style="22"/>
    <col min="2560" max="2560" width="12.6640625" style="22" customWidth="1"/>
    <col min="2561" max="2561" width="15.6640625" style="22" customWidth="1"/>
    <col min="2562" max="2562" width="50.6640625" style="22" customWidth="1"/>
    <col min="2563" max="2563" width="9.6640625" style="22" customWidth="1"/>
    <col min="2564" max="2565" width="11.6640625" style="22" customWidth="1"/>
    <col min="2566" max="2566" width="16.6640625" style="22" customWidth="1"/>
    <col min="2567" max="2567" width="8.88671875" style="22"/>
    <col min="2568" max="2568" width="16.88671875" style="22" customWidth="1"/>
    <col min="2569" max="2815" width="8.88671875" style="22"/>
    <col min="2816" max="2816" width="12.6640625" style="22" customWidth="1"/>
    <col min="2817" max="2817" width="15.6640625" style="22" customWidth="1"/>
    <col min="2818" max="2818" width="50.6640625" style="22" customWidth="1"/>
    <col min="2819" max="2819" width="9.6640625" style="22" customWidth="1"/>
    <col min="2820" max="2821" width="11.6640625" style="22" customWidth="1"/>
    <col min="2822" max="2822" width="16.6640625" style="22" customWidth="1"/>
    <col min="2823" max="2823" width="8.88671875" style="22"/>
    <col min="2824" max="2824" width="16.88671875" style="22" customWidth="1"/>
    <col min="2825" max="3071" width="8.88671875" style="22"/>
    <col min="3072" max="3072" width="12.6640625" style="22" customWidth="1"/>
    <col min="3073" max="3073" width="15.6640625" style="22" customWidth="1"/>
    <col min="3074" max="3074" width="50.6640625" style="22" customWidth="1"/>
    <col min="3075" max="3075" width="9.6640625" style="22" customWidth="1"/>
    <col min="3076" max="3077" width="11.6640625" style="22" customWidth="1"/>
    <col min="3078" max="3078" width="16.6640625" style="22" customWidth="1"/>
    <col min="3079" max="3079" width="8.88671875" style="22"/>
    <col min="3080" max="3080" width="16.88671875" style="22" customWidth="1"/>
    <col min="3081" max="3327" width="8.88671875" style="22"/>
    <col min="3328" max="3328" width="12.6640625" style="22" customWidth="1"/>
    <col min="3329" max="3329" width="15.6640625" style="22" customWidth="1"/>
    <col min="3330" max="3330" width="50.6640625" style="22" customWidth="1"/>
    <col min="3331" max="3331" width="9.6640625" style="22" customWidth="1"/>
    <col min="3332" max="3333" width="11.6640625" style="22" customWidth="1"/>
    <col min="3334" max="3334" width="16.6640625" style="22" customWidth="1"/>
    <col min="3335" max="3335" width="8.88671875" style="22"/>
    <col min="3336" max="3336" width="16.88671875" style="22" customWidth="1"/>
    <col min="3337" max="3583" width="8.88671875" style="22"/>
    <col min="3584" max="3584" width="12.6640625" style="22" customWidth="1"/>
    <col min="3585" max="3585" width="15.6640625" style="22" customWidth="1"/>
    <col min="3586" max="3586" width="50.6640625" style="22" customWidth="1"/>
    <col min="3587" max="3587" width="9.6640625" style="22" customWidth="1"/>
    <col min="3588" max="3589" width="11.6640625" style="22" customWidth="1"/>
    <col min="3590" max="3590" width="16.6640625" style="22" customWidth="1"/>
    <col min="3591" max="3591" width="8.88671875" style="22"/>
    <col min="3592" max="3592" width="16.88671875" style="22" customWidth="1"/>
    <col min="3593" max="3839" width="8.88671875" style="22"/>
    <col min="3840" max="3840" width="12.6640625" style="22" customWidth="1"/>
    <col min="3841" max="3841" width="15.6640625" style="22" customWidth="1"/>
    <col min="3842" max="3842" width="50.6640625" style="22" customWidth="1"/>
    <col min="3843" max="3843" width="9.6640625" style="22" customWidth="1"/>
    <col min="3844" max="3845" width="11.6640625" style="22" customWidth="1"/>
    <col min="3846" max="3846" width="16.6640625" style="22" customWidth="1"/>
    <col min="3847" max="3847" width="8.88671875" style="22"/>
    <col min="3848" max="3848" width="16.88671875" style="22" customWidth="1"/>
    <col min="3849" max="4095" width="8.88671875" style="22"/>
    <col min="4096" max="4096" width="12.6640625" style="22" customWidth="1"/>
    <col min="4097" max="4097" width="15.6640625" style="22" customWidth="1"/>
    <col min="4098" max="4098" width="50.6640625" style="22" customWidth="1"/>
    <col min="4099" max="4099" width="9.6640625" style="22" customWidth="1"/>
    <col min="4100" max="4101" width="11.6640625" style="22" customWidth="1"/>
    <col min="4102" max="4102" width="16.6640625" style="22" customWidth="1"/>
    <col min="4103" max="4103" width="8.88671875" style="22"/>
    <col min="4104" max="4104" width="16.88671875" style="22" customWidth="1"/>
    <col min="4105" max="4351" width="8.88671875" style="22"/>
    <col min="4352" max="4352" width="12.6640625" style="22" customWidth="1"/>
    <col min="4353" max="4353" width="15.6640625" style="22" customWidth="1"/>
    <col min="4354" max="4354" width="50.6640625" style="22" customWidth="1"/>
    <col min="4355" max="4355" width="9.6640625" style="22" customWidth="1"/>
    <col min="4356" max="4357" width="11.6640625" style="22" customWidth="1"/>
    <col min="4358" max="4358" width="16.6640625" style="22" customWidth="1"/>
    <col min="4359" max="4359" width="8.88671875" style="22"/>
    <col min="4360" max="4360" width="16.88671875" style="22" customWidth="1"/>
    <col min="4361" max="4607" width="8.88671875" style="22"/>
    <col min="4608" max="4608" width="12.6640625" style="22" customWidth="1"/>
    <col min="4609" max="4609" width="15.6640625" style="22" customWidth="1"/>
    <col min="4610" max="4610" width="50.6640625" style="22" customWidth="1"/>
    <col min="4611" max="4611" width="9.6640625" style="22" customWidth="1"/>
    <col min="4612" max="4613" width="11.6640625" style="22" customWidth="1"/>
    <col min="4614" max="4614" width="16.6640625" style="22" customWidth="1"/>
    <col min="4615" max="4615" width="8.88671875" style="22"/>
    <col min="4616" max="4616" width="16.88671875" style="22" customWidth="1"/>
    <col min="4617" max="4863" width="8.88671875" style="22"/>
    <col min="4864" max="4864" width="12.6640625" style="22" customWidth="1"/>
    <col min="4865" max="4865" width="15.6640625" style="22" customWidth="1"/>
    <col min="4866" max="4866" width="50.6640625" style="22" customWidth="1"/>
    <col min="4867" max="4867" width="9.6640625" style="22" customWidth="1"/>
    <col min="4868" max="4869" width="11.6640625" style="22" customWidth="1"/>
    <col min="4870" max="4870" width="16.6640625" style="22" customWidth="1"/>
    <col min="4871" max="4871" width="8.88671875" style="22"/>
    <col min="4872" max="4872" width="16.88671875" style="22" customWidth="1"/>
    <col min="4873" max="5119" width="8.88671875" style="22"/>
    <col min="5120" max="5120" width="12.6640625" style="22" customWidth="1"/>
    <col min="5121" max="5121" width="15.6640625" style="22" customWidth="1"/>
    <col min="5122" max="5122" width="50.6640625" style="22" customWidth="1"/>
    <col min="5123" max="5123" width="9.6640625" style="22" customWidth="1"/>
    <col min="5124" max="5125" width="11.6640625" style="22" customWidth="1"/>
    <col min="5126" max="5126" width="16.6640625" style="22" customWidth="1"/>
    <col min="5127" max="5127" width="8.88671875" style="22"/>
    <col min="5128" max="5128" width="16.88671875" style="22" customWidth="1"/>
    <col min="5129" max="5375" width="8.88671875" style="22"/>
    <col min="5376" max="5376" width="12.6640625" style="22" customWidth="1"/>
    <col min="5377" max="5377" width="15.6640625" style="22" customWidth="1"/>
    <col min="5378" max="5378" width="50.6640625" style="22" customWidth="1"/>
    <col min="5379" max="5379" width="9.6640625" style="22" customWidth="1"/>
    <col min="5380" max="5381" width="11.6640625" style="22" customWidth="1"/>
    <col min="5382" max="5382" width="16.6640625" style="22" customWidth="1"/>
    <col min="5383" max="5383" width="8.88671875" style="22"/>
    <col min="5384" max="5384" width="16.88671875" style="22" customWidth="1"/>
    <col min="5385" max="5631" width="8.88671875" style="22"/>
    <col min="5632" max="5632" width="12.6640625" style="22" customWidth="1"/>
    <col min="5633" max="5633" width="15.6640625" style="22" customWidth="1"/>
    <col min="5634" max="5634" width="50.6640625" style="22" customWidth="1"/>
    <col min="5635" max="5635" width="9.6640625" style="22" customWidth="1"/>
    <col min="5636" max="5637" width="11.6640625" style="22" customWidth="1"/>
    <col min="5638" max="5638" width="16.6640625" style="22" customWidth="1"/>
    <col min="5639" max="5639" width="8.88671875" style="22"/>
    <col min="5640" max="5640" width="16.88671875" style="22" customWidth="1"/>
    <col min="5641" max="5887" width="8.88671875" style="22"/>
    <col min="5888" max="5888" width="12.6640625" style="22" customWidth="1"/>
    <col min="5889" max="5889" width="15.6640625" style="22" customWidth="1"/>
    <col min="5890" max="5890" width="50.6640625" style="22" customWidth="1"/>
    <col min="5891" max="5891" width="9.6640625" style="22" customWidth="1"/>
    <col min="5892" max="5893" width="11.6640625" style="22" customWidth="1"/>
    <col min="5894" max="5894" width="16.6640625" style="22" customWidth="1"/>
    <col min="5895" max="5895" width="8.88671875" style="22"/>
    <col min="5896" max="5896" width="16.88671875" style="22" customWidth="1"/>
    <col min="5897" max="6143" width="8.88671875" style="22"/>
    <col min="6144" max="6144" width="12.6640625" style="22" customWidth="1"/>
    <col min="6145" max="6145" width="15.6640625" style="22" customWidth="1"/>
    <col min="6146" max="6146" width="50.6640625" style="22" customWidth="1"/>
    <col min="6147" max="6147" width="9.6640625" style="22" customWidth="1"/>
    <col min="6148" max="6149" width="11.6640625" style="22" customWidth="1"/>
    <col min="6150" max="6150" width="16.6640625" style="22" customWidth="1"/>
    <col min="6151" max="6151" width="8.88671875" style="22"/>
    <col min="6152" max="6152" width="16.88671875" style="22" customWidth="1"/>
    <col min="6153" max="6399" width="8.88671875" style="22"/>
    <col min="6400" max="6400" width="12.6640625" style="22" customWidth="1"/>
    <col min="6401" max="6401" width="15.6640625" style="22" customWidth="1"/>
    <col min="6402" max="6402" width="50.6640625" style="22" customWidth="1"/>
    <col min="6403" max="6403" width="9.6640625" style="22" customWidth="1"/>
    <col min="6404" max="6405" width="11.6640625" style="22" customWidth="1"/>
    <col min="6406" max="6406" width="16.6640625" style="22" customWidth="1"/>
    <col min="6407" max="6407" width="8.88671875" style="22"/>
    <col min="6408" max="6408" width="16.88671875" style="22" customWidth="1"/>
    <col min="6409" max="6655" width="8.88671875" style="22"/>
    <col min="6656" max="6656" width="12.6640625" style="22" customWidth="1"/>
    <col min="6657" max="6657" width="15.6640625" style="22" customWidth="1"/>
    <col min="6658" max="6658" width="50.6640625" style="22" customWidth="1"/>
    <col min="6659" max="6659" width="9.6640625" style="22" customWidth="1"/>
    <col min="6660" max="6661" width="11.6640625" style="22" customWidth="1"/>
    <col min="6662" max="6662" width="16.6640625" style="22" customWidth="1"/>
    <col min="6663" max="6663" width="8.88671875" style="22"/>
    <col min="6664" max="6664" width="16.88671875" style="22" customWidth="1"/>
    <col min="6665" max="6911" width="8.88671875" style="22"/>
    <col min="6912" max="6912" width="12.6640625" style="22" customWidth="1"/>
    <col min="6913" max="6913" width="15.6640625" style="22" customWidth="1"/>
    <col min="6914" max="6914" width="50.6640625" style="22" customWidth="1"/>
    <col min="6915" max="6915" width="9.6640625" style="22" customWidth="1"/>
    <col min="6916" max="6917" width="11.6640625" style="22" customWidth="1"/>
    <col min="6918" max="6918" width="16.6640625" style="22" customWidth="1"/>
    <col min="6919" max="6919" width="8.88671875" style="22"/>
    <col min="6920" max="6920" width="16.88671875" style="22" customWidth="1"/>
    <col min="6921" max="7167" width="8.88671875" style="22"/>
    <col min="7168" max="7168" width="12.6640625" style="22" customWidth="1"/>
    <col min="7169" max="7169" width="15.6640625" style="22" customWidth="1"/>
    <col min="7170" max="7170" width="50.6640625" style="22" customWidth="1"/>
    <col min="7171" max="7171" width="9.6640625" style="22" customWidth="1"/>
    <col min="7172" max="7173" width="11.6640625" style="22" customWidth="1"/>
    <col min="7174" max="7174" width="16.6640625" style="22" customWidth="1"/>
    <col min="7175" max="7175" width="8.88671875" style="22"/>
    <col min="7176" max="7176" width="16.88671875" style="22" customWidth="1"/>
    <col min="7177" max="7423" width="8.88671875" style="22"/>
    <col min="7424" max="7424" width="12.6640625" style="22" customWidth="1"/>
    <col min="7425" max="7425" width="15.6640625" style="22" customWidth="1"/>
    <col min="7426" max="7426" width="50.6640625" style="22" customWidth="1"/>
    <col min="7427" max="7427" width="9.6640625" style="22" customWidth="1"/>
    <col min="7428" max="7429" width="11.6640625" style="22" customWidth="1"/>
    <col min="7430" max="7430" width="16.6640625" style="22" customWidth="1"/>
    <col min="7431" max="7431" width="8.88671875" style="22"/>
    <col min="7432" max="7432" width="16.88671875" style="22" customWidth="1"/>
    <col min="7433" max="7679" width="8.88671875" style="22"/>
    <col min="7680" max="7680" width="12.6640625" style="22" customWidth="1"/>
    <col min="7681" max="7681" width="15.6640625" style="22" customWidth="1"/>
    <col min="7682" max="7682" width="50.6640625" style="22" customWidth="1"/>
    <col min="7683" max="7683" width="9.6640625" style="22" customWidth="1"/>
    <col min="7684" max="7685" width="11.6640625" style="22" customWidth="1"/>
    <col min="7686" max="7686" width="16.6640625" style="22" customWidth="1"/>
    <col min="7687" max="7687" width="8.88671875" style="22"/>
    <col min="7688" max="7688" width="16.88671875" style="22" customWidth="1"/>
    <col min="7689" max="7935" width="8.88671875" style="22"/>
    <col min="7936" max="7936" width="12.6640625" style="22" customWidth="1"/>
    <col min="7937" max="7937" width="15.6640625" style="22" customWidth="1"/>
    <col min="7938" max="7938" width="50.6640625" style="22" customWidth="1"/>
    <col min="7939" max="7939" width="9.6640625" style="22" customWidth="1"/>
    <col min="7940" max="7941" width="11.6640625" style="22" customWidth="1"/>
    <col min="7942" max="7942" width="16.6640625" style="22" customWidth="1"/>
    <col min="7943" max="7943" width="8.88671875" style="22"/>
    <col min="7944" max="7944" width="16.88671875" style="22" customWidth="1"/>
    <col min="7945" max="8191" width="8.88671875" style="22"/>
    <col min="8192" max="8192" width="12.6640625" style="22" customWidth="1"/>
    <col min="8193" max="8193" width="15.6640625" style="22" customWidth="1"/>
    <col min="8194" max="8194" width="50.6640625" style="22" customWidth="1"/>
    <col min="8195" max="8195" width="9.6640625" style="22" customWidth="1"/>
    <col min="8196" max="8197" width="11.6640625" style="22" customWidth="1"/>
    <col min="8198" max="8198" width="16.6640625" style="22" customWidth="1"/>
    <col min="8199" max="8199" width="8.88671875" style="22"/>
    <col min="8200" max="8200" width="16.88671875" style="22" customWidth="1"/>
    <col min="8201" max="8447" width="8.88671875" style="22"/>
    <col min="8448" max="8448" width="12.6640625" style="22" customWidth="1"/>
    <col min="8449" max="8449" width="15.6640625" style="22" customWidth="1"/>
    <col min="8450" max="8450" width="50.6640625" style="22" customWidth="1"/>
    <col min="8451" max="8451" width="9.6640625" style="22" customWidth="1"/>
    <col min="8452" max="8453" width="11.6640625" style="22" customWidth="1"/>
    <col min="8454" max="8454" width="16.6640625" style="22" customWidth="1"/>
    <col min="8455" max="8455" width="8.88671875" style="22"/>
    <col min="8456" max="8456" width="16.88671875" style="22" customWidth="1"/>
    <col min="8457" max="8703" width="8.88671875" style="22"/>
    <col min="8704" max="8704" width="12.6640625" style="22" customWidth="1"/>
    <col min="8705" max="8705" width="15.6640625" style="22" customWidth="1"/>
    <col min="8706" max="8706" width="50.6640625" style="22" customWidth="1"/>
    <col min="8707" max="8707" width="9.6640625" style="22" customWidth="1"/>
    <col min="8708" max="8709" width="11.6640625" style="22" customWidth="1"/>
    <col min="8710" max="8710" width="16.6640625" style="22" customWidth="1"/>
    <col min="8711" max="8711" width="8.88671875" style="22"/>
    <col min="8712" max="8712" width="16.88671875" style="22" customWidth="1"/>
    <col min="8713" max="8959" width="8.88671875" style="22"/>
    <col min="8960" max="8960" width="12.6640625" style="22" customWidth="1"/>
    <col min="8961" max="8961" width="15.6640625" style="22" customWidth="1"/>
    <col min="8962" max="8962" width="50.6640625" style="22" customWidth="1"/>
    <col min="8963" max="8963" width="9.6640625" style="22" customWidth="1"/>
    <col min="8964" max="8965" width="11.6640625" style="22" customWidth="1"/>
    <col min="8966" max="8966" width="16.6640625" style="22" customWidth="1"/>
    <col min="8967" max="8967" width="8.88671875" style="22"/>
    <col min="8968" max="8968" width="16.88671875" style="22" customWidth="1"/>
    <col min="8969" max="9215" width="8.88671875" style="22"/>
    <col min="9216" max="9216" width="12.6640625" style="22" customWidth="1"/>
    <col min="9217" max="9217" width="15.6640625" style="22" customWidth="1"/>
    <col min="9218" max="9218" width="50.6640625" style="22" customWidth="1"/>
    <col min="9219" max="9219" width="9.6640625" style="22" customWidth="1"/>
    <col min="9220" max="9221" width="11.6640625" style="22" customWidth="1"/>
    <col min="9222" max="9222" width="16.6640625" style="22" customWidth="1"/>
    <col min="9223" max="9223" width="8.88671875" style="22"/>
    <col min="9224" max="9224" width="16.88671875" style="22" customWidth="1"/>
    <col min="9225" max="9471" width="8.88671875" style="22"/>
    <col min="9472" max="9472" width="12.6640625" style="22" customWidth="1"/>
    <col min="9473" max="9473" width="15.6640625" style="22" customWidth="1"/>
    <col min="9474" max="9474" width="50.6640625" style="22" customWidth="1"/>
    <col min="9475" max="9475" width="9.6640625" style="22" customWidth="1"/>
    <col min="9476" max="9477" width="11.6640625" style="22" customWidth="1"/>
    <col min="9478" max="9478" width="16.6640625" style="22" customWidth="1"/>
    <col min="9479" max="9479" width="8.88671875" style="22"/>
    <col min="9480" max="9480" width="16.88671875" style="22" customWidth="1"/>
    <col min="9481" max="9727" width="8.88671875" style="22"/>
    <col min="9728" max="9728" width="12.6640625" style="22" customWidth="1"/>
    <col min="9729" max="9729" width="15.6640625" style="22" customWidth="1"/>
    <col min="9730" max="9730" width="50.6640625" style="22" customWidth="1"/>
    <col min="9731" max="9731" width="9.6640625" style="22" customWidth="1"/>
    <col min="9732" max="9733" width="11.6640625" style="22" customWidth="1"/>
    <col min="9734" max="9734" width="16.6640625" style="22" customWidth="1"/>
    <col min="9735" max="9735" width="8.88671875" style="22"/>
    <col min="9736" max="9736" width="16.88671875" style="22" customWidth="1"/>
    <col min="9737" max="9983" width="8.88671875" style="22"/>
    <col min="9984" max="9984" width="12.6640625" style="22" customWidth="1"/>
    <col min="9985" max="9985" width="15.6640625" style="22" customWidth="1"/>
    <col min="9986" max="9986" width="50.6640625" style="22" customWidth="1"/>
    <col min="9987" max="9987" width="9.6640625" style="22" customWidth="1"/>
    <col min="9988" max="9989" width="11.6640625" style="22" customWidth="1"/>
    <col min="9990" max="9990" width="16.6640625" style="22" customWidth="1"/>
    <col min="9991" max="9991" width="8.88671875" style="22"/>
    <col min="9992" max="9992" width="16.88671875" style="22" customWidth="1"/>
    <col min="9993" max="10239" width="8.88671875" style="22"/>
    <col min="10240" max="10240" width="12.6640625" style="22" customWidth="1"/>
    <col min="10241" max="10241" width="15.6640625" style="22" customWidth="1"/>
    <col min="10242" max="10242" width="50.6640625" style="22" customWidth="1"/>
    <col min="10243" max="10243" width="9.6640625" style="22" customWidth="1"/>
    <col min="10244" max="10245" width="11.6640625" style="22" customWidth="1"/>
    <col min="10246" max="10246" width="16.6640625" style="22" customWidth="1"/>
    <col min="10247" max="10247" width="8.88671875" style="22"/>
    <col min="10248" max="10248" width="16.88671875" style="22" customWidth="1"/>
    <col min="10249" max="10495" width="8.88671875" style="22"/>
    <col min="10496" max="10496" width="12.6640625" style="22" customWidth="1"/>
    <col min="10497" max="10497" width="15.6640625" style="22" customWidth="1"/>
    <col min="10498" max="10498" width="50.6640625" style="22" customWidth="1"/>
    <col min="10499" max="10499" width="9.6640625" style="22" customWidth="1"/>
    <col min="10500" max="10501" width="11.6640625" style="22" customWidth="1"/>
    <col min="10502" max="10502" width="16.6640625" style="22" customWidth="1"/>
    <col min="10503" max="10503" width="8.88671875" style="22"/>
    <col min="10504" max="10504" width="16.88671875" style="22" customWidth="1"/>
    <col min="10505" max="10751" width="8.88671875" style="22"/>
    <col min="10752" max="10752" width="12.6640625" style="22" customWidth="1"/>
    <col min="10753" max="10753" width="15.6640625" style="22" customWidth="1"/>
    <col min="10754" max="10754" width="50.6640625" style="22" customWidth="1"/>
    <col min="10755" max="10755" width="9.6640625" style="22" customWidth="1"/>
    <col min="10756" max="10757" width="11.6640625" style="22" customWidth="1"/>
    <col min="10758" max="10758" width="16.6640625" style="22" customWidth="1"/>
    <col min="10759" max="10759" width="8.88671875" style="22"/>
    <col min="10760" max="10760" width="16.88671875" style="22" customWidth="1"/>
    <col min="10761" max="11007" width="8.88671875" style="22"/>
    <col min="11008" max="11008" width="12.6640625" style="22" customWidth="1"/>
    <col min="11009" max="11009" width="15.6640625" style="22" customWidth="1"/>
    <col min="11010" max="11010" width="50.6640625" style="22" customWidth="1"/>
    <col min="11011" max="11011" width="9.6640625" style="22" customWidth="1"/>
    <col min="11012" max="11013" width="11.6640625" style="22" customWidth="1"/>
    <col min="11014" max="11014" width="16.6640625" style="22" customWidth="1"/>
    <col min="11015" max="11015" width="8.88671875" style="22"/>
    <col min="11016" max="11016" width="16.88671875" style="22" customWidth="1"/>
    <col min="11017" max="11263" width="8.88671875" style="22"/>
    <col min="11264" max="11264" width="12.6640625" style="22" customWidth="1"/>
    <col min="11265" max="11265" width="15.6640625" style="22" customWidth="1"/>
    <col min="11266" max="11266" width="50.6640625" style="22" customWidth="1"/>
    <col min="11267" max="11267" width="9.6640625" style="22" customWidth="1"/>
    <col min="11268" max="11269" width="11.6640625" style="22" customWidth="1"/>
    <col min="11270" max="11270" width="16.6640625" style="22" customWidth="1"/>
    <col min="11271" max="11271" width="8.88671875" style="22"/>
    <col min="11272" max="11272" width="16.88671875" style="22" customWidth="1"/>
    <col min="11273" max="11519" width="8.88671875" style="22"/>
    <col min="11520" max="11520" width="12.6640625" style="22" customWidth="1"/>
    <col min="11521" max="11521" width="15.6640625" style="22" customWidth="1"/>
    <col min="11522" max="11522" width="50.6640625" style="22" customWidth="1"/>
    <col min="11523" max="11523" width="9.6640625" style="22" customWidth="1"/>
    <col min="11524" max="11525" width="11.6640625" style="22" customWidth="1"/>
    <col min="11526" max="11526" width="16.6640625" style="22" customWidth="1"/>
    <col min="11527" max="11527" width="8.88671875" style="22"/>
    <col min="11528" max="11528" width="16.88671875" style="22" customWidth="1"/>
    <col min="11529" max="11775" width="8.88671875" style="22"/>
    <col min="11776" max="11776" width="12.6640625" style="22" customWidth="1"/>
    <col min="11777" max="11777" width="15.6640625" style="22" customWidth="1"/>
    <col min="11778" max="11778" width="50.6640625" style="22" customWidth="1"/>
    <col min="11779" max="11779" width="9.6640625" style="22" customWidth="1"/>
    <col min="11780" max="11781" width="11.6640625" style="22" customWidth="1"/>
    <col min="11782" max="11782" width="16.6640625" style="22" customWidth="1"/>
    <col min="11783" max="11783" width="8.88671875" style="22"/>
    <col min="11784" max="11784" width="16.88671875" style="22" customWidth="1"/>
    <col min="11785" max="12031" width="8.88671875" style="22"/>
    <col min="12032" max="12032" width="12.6640625" style="22" customWidth="1"/>
    <col min="12033" max="12033" width="15.6640625" style="22" customWidth="1"/>
    <col min="12034" max="12034" width="50.6640625" style="22" customWidth="1"/>
    <col min="12035" max="12035" width="9.6640625" style="22" customWidth="1"/>
    <col min="12036" max="12037" width="11.6640625" style="22" customWidth="1"/>
    <col min="12038" max="12038" width="16.6640625" style="22" customWidth="1"/>
    <col min="12039" max="12039" width="8.88671875" style="22"/>
    <col min="12040" max="12040" width="16.88671875" style="22" customWidth="1"/>
    <col min="12041" max="12287" width="8.88671875" style="22"/>
    <col min="12288" max="12288" width="12.6640625" style="22" customWidth="1"/>
    <col min="12289" max="12289" width="15.6640625" style="22" customWidth="1"/>
    <col min="12290" max="12290" width="50.6640625" style="22" customWidth="1"/>
    <col min="12291" max="12291" width="9.6640625" style="22" customWidth="1"/>
    <col min="12292" max="12293" width="11.6640625" style="22" customWidth="1"/>
    <col min="12294" max="12294" width="16.6640625" style="22" customWidth="1"/>
    <col min="12295" max="12295" width="8.88671875" style="22"/>
    <col min="12296" max="12296" width="16.88671875" style="22" customWidth="1"/>
    <col min="12297" max="12543" width="8.88671875" style="22"/>
    <col min="12544" max="12544" width="12.6640625" style="22" customWidth="1"/>
    <col min="12545" max="12545" width="15.6640625" style="22" customWidth="1"/>
    <col min="12546" max="12546" width="50.6640625" style="22" customWidth="1"/>
    <col min="12547" max="12547" width="9.6640625" style="22" customWidth="1"/>
    <col min="12548" max="12549" width="11.6640625" style="22" customWidth="1"/>
    <col min="12550" max="12550" width="16.6640625" style="22" customWidth="1"/>
    <col min="12551" max="12551" width="8.88671875" style="22"/>
    <col min="12552" max="12552" width="16.88671875" style="22" customWidth="1"/>
    <col min="12553" max="12799" width="8.88671875" style="22"/>
    <col min="12800" max="12800" width="12.6640625" style="22" customWidth="1"/>
    <col min="12801" max="12801" width="15.6640625" style="22" customWidth="1"/>
    <col min="12802" max="12802" width="50.6640625" style="22" customWidth="1"/>
    <col min="12803" max="12803" width="9.6640625" style="22" customWidth="1"/>
    <col min="12804" max="12805" width="11.6640625" style="22" customWidth="1"/>
    <col min="12806" max="12806" width="16.6640625" style="22" customWidth="1"/>
    <col min="12807" max="12807" width="8.88671875" style="22"/>
    <col min="12808" max="12808" width="16.88671875" style="22" customWidth="1"/>
    <col min="12809" max="13055" width="8.88671875" style="22"/>
    <col min="13056" max="13056" width="12.6640625" style="22" customWidth="1"/>
    <col min="13057" max="13057" width="15.6640625" style="22" customWidth="1"/>
    <col min="13058" max="13058" width="50.6640625" style="22" customWidth="1"/>
    <col min="13059" max="13059" width="9.6640625" style="22" customWidth="1"/>
    <col min="13060" max="13061" width="11.6640625" style="22" customWidth="1"/>
    <col min="13062" max="13062" width="16.6640625" style="22" customWidth="1"/>
    <col min="13063" max="13063" width="8.88671875" style="22"/>
    <col min="13064" max="13064" width="16.88671875" style="22" customWidth="1"/>
    <col min="13065" max="13311" width="8.88671875" style="22"/>
    <col min="13312" max="13312" width="12.6640625" style="22" customWidth="1"/>
    <col min="13313" max="13313" width="15.6640625" style="22" customWidth="1"/>
    <col min="13314" max="13314" width="50.6640625" style="22" customWidth="1"/>
    <col min="13315" max="13315" width="9.6640625" style="22" customWidth="1"/>
    <col min="13316" max="13317" width="11.6640625" style="22" customWidth="1"/>
    <col min="13318" max="13318" width="16.6640625" style="22" customWidth="1"/>
    <col min="13319" max="13319" width="8.88671875" style="22"/>
    <col min="13320" max="13320" width="16.88671875" style="22" customWidth="1"/>
    <col min="13321" max="13567" width="8.88671875" style="22"/>
    <col min="13568" max="13568" width="12.6640625" style="22" customWidth="1"/>
    <col min="13569" max="13569" width="15.6640625" style="22" customWidth="1"/>
    <col min="13570" max="13570" width="50.6640625" style="22" customWidth="1"/>
    <col min="13571" max="13571" width="9.6640625" style="22" customWidth="1"/>
    <col min="13572" max="13573" width="11.6640625" style="22" customWidth="1"/>
    <col min="13574" max="13574" width="16.6640625" style="22" customWidth="1"/>
    <col min="13575" max="13575" width="8.88671875" style="22"/>
    <col min="13576" max="13576" width="16.88671875" style="22" customWidth="1"/>
    <col min="13577" max="13823" width="8.88671875" style="22"/>
    <col min="13824" max="13824" width="12.6640625" style="22" customWidth="1"/>
    <col min="13825" max="13825" width="15.6640625" style="22" customWidth="1"/>
    <col min="13826" max="13826" width="50.6640625" style="22" customWidth="1"/>
    <col min="13827" max="13827" width="9.6640625" style="22" customWidth="1"/>
    <col min="13828" max="13829" width="11.6640625" style="22" customWidth="1"/>
    <col min="13830" max="13830" width="16.6640625" style="22" customWidth="1"/>
    <col min="13831" max="13831" width="8.88671875" style="22"/>
    <col min="13832" max="13832" width="16.88671875" style="22" customWidth="1"/>
    <col min="13833" max="14079" width="8.88671875" style="22"/>
    <col min="14080" max="14080" width="12.6640625" style="22" customWidth="1"/>
    <col min="14081" max="14081" width="15.6640625" style="22" customWidth="1"/>
    <col min="14082" max="14082" width="50.6640625" style="22" customWidth="1"/>
    <col min="14083" max="14083" width="9.6640625" style="22" customWidth="1"/>
    <col min="14084" max="14085" width="11.6640625" style="22" customWidth="1"/>
    <col min="14086" max="14086" width="16.6640625" style="22" customWidth="1"/>
    <col min="14087" max="14087" width="8.88671875" style="22"/>
    <col min="14088" max="14088" width="16.88671875" style="22" customWidth="1"/>
    <col min="14089" max="14335" width="8.88671875" style="22"/>
    <col min="14336" max="14336" width="12.6640625" style="22" customWidth="1"/>
    <col min="14337" max="14337" width="15.6640625" style="22" customWidth="1"/>
    <col min="14338" max="14338" width="50.6640625" style="22" customWidth="1"/>
    <col min="14339" max="14339" width="9.6640625" style="22" customWidth="1"/>
    <col min="14340" max="14341" width="11.6640625" style="22" customWidth="1"/>
    <col min="14342" max="14342" width="16.6640625" style="22" customWidth="1"/>
    <col min="14343" max="14343" width="8.88671875" style="22"/>
    <col min="14344" max="14344" width="16.88671875" style="22" customWidth="1"/>
    <col min="14345" max="14591" width="8.88671875" style="22"/>
    <col min="14592" max="14592" width="12.6640625" style="22" customWidth="1"/>
    <col min="14593" max="14593" width="15.6640625" style="22" customWidth="1"/>
    <col min="14594" max="14594" width="50.6640625" style="22" customWidth="1"/>
    <col min="14595" max="14595" width="9.6640625" style="22" customWidth="1"/>
    <col min="14596" max="14597" width="11.6640625" style="22" customWidth="1"/>
    <col min="14598" max="14598" width="16.6640625" style="22" customWidth="1"/>
    <col min="14599" max="14599" width="8.88671875" style="22"/>
    <col min="14600" max="14600" width="16.88671875" style="22" customWidth="1"/>
    <col min="14601" max="14847" width="8.88671875" style="22"/>
    <col min="14848" max="14848" width="12.6640625" style="22" customWidth="1"/>
    <col min="14849" max="14849" width="15.6640625" style="22" customWidth="1"/>
    <col min="14850" max="14850" width="50.6640625" style="22" customWidth="1"/>
    <col min="14851" max="14851" width="9.6640625" style="22" customWidth="1"/>
    <col min="14852" max="14853" width="11.6640625" style="22" customWidth="1"/>
    <col min="14854" max="14854" width="16.6640625" style="22" customWidth="1"/>
    <col min="14855" max="14855" width="8.88671875" style="22"/>
    <col min="14856" max="14856" width="16.88671875" style="22" customWidth="1"/>
    <col min="14857" max="15103" width="8.88671875" style="22"/>
    <col min="15104" max="15104" width="12.6640625" style="22" customWidth="1"/>
    <col min="15105" max="15105" width="15.6640625" style="22" customWidth="1"/>
    <col min="15106" max="15106" width="50.6640625" style="22" customWidth="1"/>
    <col min="15107" max="15107" width="9.6640625" style="22" customWidth="1"/>
    <col min="15108" max="15109" width="11.6640625" style="22" customWidth="1"/>
    <col min="15110" max="15110" width="16.6640625" style="22" customWidth="1"/>
    <col min="15111" max="15111" width="8.88671875" style="22"/>
    <col min="15112" max="15112" width="16.88671875" style="22" customWidth="1"/>
    <col min="15113" max="15359" width="8.88671875" style="22"/>
    <col min="15360" max="15360" width="12.6640625" style="22" customWidth="1"/>
    <col min="15361" max="15361" width="15.6640625" style="22" customWidth="1"/>
    <col min="15362" max="15362" width="50.6640625" style="22" customWidth="1"/>
    <col min="15363" max="15363" width="9.6640625" style="22" customWidth="1"/>
    <col min="15364" max="15365" width="11.6640625" style="22" customWidth="1"/>
    <col min="15366" max="15366" width="16.6640625" style="22" customWidth="1"/>
    <col min="15367" max="15367" width="8.88671875" style="22"/>
    <col min="15368" max="15368" width="16.88671875" style="22" customWidth="1"/>
    <col min="15369" max="15615" width="8.88671875" style="22"/>
    <col min="15616" max="15616" width="12.6640625" style="22" customWidth="1"/>
    <col min="15617" max="15617" width="15.6640625" style="22" customWidth="1"/>
    <col min="15618" max="15618" width="50.6640625" style="22" customWidth="1"/>
    <col min="15619" max="15619" width="9.6640625" style="22" customWidth="1"/>
    <col min="15620" max="15621" width="11.6640625" style="22" customWidth="1"/>
    <col min="15622" max="15622" width="16.6640625" style="22" customWidth="1"/>
    <col min="15623" max="15623" width="8.88671875" style="22"/>
    <col min="15624" max="15624" width="16.88671875" style="22" customWidth="1"/>
    <col min="15625" max="15871" width="8.88671875" style="22"/>
    <col min="15872" max="15872" width="12.6640625" style="22" customWidth="1"/>
    <col min="15873" max="15873" width="15.6640625" style="22" customWidth="1"/>
    <col min="15874" max="15874" width="50.6640625" style="22" customWidth="1"/>
    <col min="15875" max="15875" width="9.6640625" style="22" customWidth="1"/>
    <col min="15876" max="15877" width="11.6640625" style="22" customWidth="1"/>
    <col min="15878" max="15878" width="16.6640625" style="22" customWidth="1"/>
    <col min="15879" max="15879" width="8.88671875" style="22"/>
    <col min="15880" max="15880" width="16.88671875" style="22" customWidth="1"/>
    <col min="15881" max="16127" width="8.88671875" style="22"/>
    <col min="16128" max="16128" width="12.6640625" style="22" customWidth="1"/>
    <col min="16129" max="16129" width="15.6640625" style="22" customWidth="1"/>
    <col min="16130" max="16130" width="50.6640625" style="22" customWidth="1"/>
    <col min="16131" max="16131" width="9.6640625" style="22" customWidth="1"/>
    <col min="16132" max="16133" width="11.6640625" style="22" customWidth="1"/>
    <col min="16134" max="16134" width="16.6640625" style="22" customWidth="1"/>
    <col min="16135" max="16135" width="8.88671875" style="22"/>
    <col min="16136" max="16136" width="16.88671875" style="22" customWidth="1"/>
    <col min="16137" max="16384" width="8.88671875" style="22"/>
  </cols>
  <sheetData>
    <row r="1" spans="1:9">
      <c r="A1" s="909" t="str">
        <f>'1-P&amp;G''s '!A1</f>
        <v>GREATER LETABA MUNICIPALITY</v>
      </c>
      <c r="B1" s="21"/>
      <c r="F1" s="999"/>
      <c r="G1" s="175"/>
    </row>
    <row r="2" spans="1:9">
      <c r="A2" s="909" t="str">
        <f>'1-P&amp;G''s '!A2</f>
        <v>CONTRACT NUMBER: GLM015/2025</v>
      </c>
      <c r="B2" s="21"/>
      <c r="C2" s="21"/>
      <c r="D2" s="23"/>
      <c r="E2" s="23"/>
      <c r="F2" s="999"/>
      <c r="G2" s="175"/>
    </row>
    <row r="3" spans="1:9">
      <c r="A3" s="909" t="str">
        <f>'1-P&amp;G''s '!A3</f>
        <v>CONSTRUCTION OF MAPHALLE LANDFILL SITE PH2</v>
      </c>
      <c r="B3" s="23"/>
      <c r="F3" s="999"/>
      <c r="G3" s="175"/>
    </row>
    <row r="4" spans="1:9">
      <c r="A4" s="909"/>
      <c r="B4" s="23"/>
      <c r="F4" s="999"/>
      <c r="G4" s="175"/>
    </row>
    <row r="5" spans="1:9">
      <c r="A5" s="909" t="s">
        <v>1075</v>
      </c>
      <c r="B5" s="21"/>
      <c r="F5" s="999"/>
      <c r="G5" s="175"/>
    </row>
    <row r="6" spans="1:9" ht="14.4" thickBot="1">
      <c r="F6" s="999"/>
      <c r="G6" s="175"/>
    </row>
    <row r="7" spans="1:9" ht="15" customHeight="1">
      <c r="A7" s="2142" t="s">
        <v>111</v>
      </c>
      <c r="B7" s="2142" t="s">
        <v>112</v>
      </c>
      <c r="C7" s="2139" t="s">
        <v>2</v>
      </c>
      <c r="D7" s="910" t="s">
        <v>882</v>
      </c>
      <c r="E7" s="930" t="s">
        <v>3</v>
      </c>
      <c r="F7" s="985" t="s">
        <v>564</v>
      </c>
      <c r="G7" s="930" t="s">
        <v>5</v>
      </c>
      <c r="H7" s="930" t="s">
        <v>565</v>
      </c>
    </row>
    <row r="8" spans="1:9" ht="17.25" customHeight="1" thickBot="1">
      <c r="A8" s="2143"/>
      <c r="B8" s="2143"/>
      <c r="C8" s="2140"/>
      <c r="D8" s="911" t="s">
        <v>883</v>
      </c>
      <c r="E8" s="932"/>
      <c r="F8" s="986"/>
      <c r="G8" s="932"/>
      <c r="H8" s="932" t="s">
        <v>6</v>
      </c>
      <c r="I8" s="886"/>
    </row>
    <row r="9" spans="1:9">
      <c r="A9" s="51">
        <v>3.1</v>
      </c>
      <c r="B9" s="51" t="s">
        <v>1009</v>
      </c>
      <c r="C9" s="27" t="s">
        <v>194</v>
      </c>
      <c r="D9" s="51"/>
      <c r="E9" s="25"/>
      <c r="F9" s="984"/>
      <c r="G9" s="29"/>
      <c r="H9" s="995"/>
    </row>
    <row r="10" spans="1:9">
      <c r="A10" s="25"/>
      <c r="B10" s="51"/>
      <c r="C10" s="962" t="s">
        <v>994</v>
      </c>
      <c r="D10" s="51"/>
      <c r="E10" s="25"/>
      <c r="F10" s="984"/>
      <c r="G10" s="29"/>
      <c r="H10" s="995"/>
    </row>
    <row r="11" spans="1:9">
      <c r="A11" s="25"/>
      <c r="B11" s="51"/>
      <c r="C11" s="962"/>
      <c r="D11" s="51"/>
      <c r="E11" s="25"/>
      <c r="F11" s="984"/>
      <c r="G11" s="29"/>
      <c r="H11" s="995"/>
    </row>
    <row r="12" spans="1:9">
      <c r="A12" s="25" t="s">
        <v>933</v>
      </c>
      <c r="B12" s="25" t="s">
        <v>992</v>
      </c>
      <c r="C12" s="28" t="s">
        <v>117</v>
      </c>
      <c r="D12" s="24"/>
      <c r="E12" s="25" t="s">
        <v>207</v>
      </c>
      <c r="F12" s="984">
        <v>1</v>
      </c>
      <c r="G12" s="957"/>
      <c r="H12" s="994"/>
    </row>
    <row r="13" spans="1:9">
      <c r="A13" s="25"/>
      <c r="B13" s="25"/>
      <c r="C13" s="28"/>
      <c r="D13" s="24"/>
      <c r="E13" s="25"/>
      <c r="F13" s="984"/>
      <c r="G13" s="957"/>
      <c r="H13" s="994"/>
    </row>
    <row r="14" spans="1:9">
      <c r="A14" s="25"/>
      <c r="B14" s="25" t="s">
        <v>119</v>
      </c>
      <c r="C14" s="26" t="s">
        <v>120</v>
      </c>
      <c r="D14" s="25"/>
      <c r="E14" s="25"/>
      <c r="F14" s="984"/>
      <c r="G14" s="957"/>
      <c r="H14" s="994"/>
    </row>
    <row r="15" spans="1:9">
      <c r="A15" s="25" t="s">
        <v>932</v>
      </c>
      <c r="B15" s="25"/>
      <c r="C15" s="26" t="s">
        <v>993</v>
      </c>
      <c r="D15" s="25" t="s">
        <v>1015</v>
      </c>
      <c r="E15" s="25" t="s">
        <v>121</v>
      </c>
      <c r="F15" s="984">
        <v>5</v>
      </c>
      <c r="G15" s="957"/>
      <c r="H15" s="994"/>
    </row>
    <row r="16" spans="1:9">
      <c r="A16" s="25"/>
      <c r="B16" s="25"/>
      <c r="C16" s="28"/>
      <c r="D16" s="24"/>
      <c r="E16" s="25"/>
      <c r="F16" s="984"/>
      <c r="G16" s="957"/>
      <c r="H16" s="994"/>
    </row>
    <row r="17" spans="1:8">
      <c r="A17" s="51">
        <v>3.2</v>
      </c>
      <c r="B17" s="51" t="s">
        <v>1010</v>
      </c>
      <c r="C17" s="54" t="s">
        <v>1004</v>
      </c>
      <c r="D17" s="51"/>
      <c r="E17" s="25"/>
      <c r="F17" s="984"/>
      <c r="G17" s="957"/>
      <c r="H17" s="994"/>
    </row>
    <row r="18" spans="1:8">
      <c r="A18" s="25"/>
      <c r="B18" s="25"/>
      <c r="C18" s="26"/>
      <c r="D18" s="25"/>
      <c r="E18" s="25"/>
      <c r="F18" s="984"/>
      <c r="G18" s="957"/>
      <c r="H18" s="994"/>
    </row>
    <row r="19" spans="1:8" ht="16.2">
      <c r="A19" s="25" t="s">
        <v>934</v>
      </c>
      <c r="B19" s="25" t="s">
        <v>995</v>
      </c>
      <c r="C19" s="28" t="s">
        <v>1016</v>
      </c>
      <c r="D19" s="24"/>
      <c r="E19" s="25" t="s">
        <v>113</v>
      </c>
      <c r="F19" s="984">
        <v>1100</v>
      </c>
      <c r="G19" s="957"/>
      <c r="H19" s="994"/>
    </row>
    <row r="20" spans="1:8">
      <c r="A20" s="25"/>
      <c r="B20" s="25"/>
      <c r="C20" s="28"/>
      <c r="D20" s="24"/>
      <c r="E20" s="25"/>
      <c r="F20" s="984"/>
      <c r="G20" s="957"/>
      <c r="H20" s="994"/>
    </row>
    <row r="21" spans="1:8">
      <c r="A21" s="25"/>
      <c r="B21" s="25"/>
      <c r="C21" s="26" t="s">
        <v>996</v>
      </c>
      <c r="D21" s="25"/>
      <c r="E21" s="25"/>
      <c r="F21" s="984"/>
      <c r="G21" s="957"/>
      <c r="H21" s="994"/>
    </row>
    <row r="22" spans="1:8" ht="15.75" customHeight="1">
      <c r="A22" s="25" t="s">
        <v>1116</v>
      </c>
      <c r="B22" s="25"/>
      <c r="C22" s="26" t="s">
        <v>997</v>
      </c>
      <c r="D22" s="25"/>
      <c r="E22" s="25" t="s">
        <v>113</v>
      </c>
      <c r="F22" s="984">
        <v>380</v>
      </c>
      <c r="G22" s="957"/>
      <c r="H22" s="994"/>
    </row>
    <row r="23" spans="1:8" ht="16.2">
      <c r="A23" s="25" t="s">
        <v>1117</v>
      </c>
      <c r="B23" s="25"/>
      <c r="C23" s="26" t="s">
        <v>998</v>
      </c>
      <c r="D23" s="25"/>
      <c r="E23" s="25" t="s">
        <v>113</v>
      </c>
      <c r="F23" s="984">
        <v>360</v>
      </c>
      <c r="G23" s="957"/>
      <c r="H23" s="994"/>
    </row>
    <row r="24" spans="1:8">
      <c r="A24" s="25"/>
      <c r="B24" s="25"/>
      <c r="C24" s="28"/>
      <c r="D24" s="24"/>
      <c r="E24" s="25"/>
      <c r="F24" s="984"/>
      <c r="G24" s="957"/>
      <c r="H24" s="994"/>
    </row>
    <row r="25" spans="1:8">
      <c r="A25" s="51">
        <v>3.3</v>
      </c>
      <c r="B25" s="51" t="s">
        <v>1011</v>
      </c>
      <c r="C25" s="27" t="s">
        <v>123</v>
      </c>
      <c r="D25" s="25"/>
      <c r="E25" s="25"/>
      <c r="F25" s="984"/>
      <c r="G25" s="957"/>
      <c r="H25" s="994"/>
    </row>
    <row r="26" spans="1:8">
      <c r="A26" s="25"/>
      <c r="B26" s="51"/>
      <c r="C26" s="962" t="s">
        <v>1170</v>
      </c>
      <c r="D26" s="25"/>
      <c r="E26" s="25"/>
      <c r="F26" s="984"/>
      <c r="G26" s="957"/>
      <c r="H26" s="994"/>
    </row>
    <row r="27" spans="1:8">
      <c r="A27" s="25"/>
      <c r="B27" s="51"/>
      <c r="C27" s="962"/>
      <c r="D27" s="25"/>
      <c r="E27" s="25"/>
      <c r="F27" s="984"/>
      <c r="G27" s="957"/>
      <c r="H27" s="994"/>
    </row>
    <row r="28" spans="1:8">
      <c r="A28" s="25"/>
      <c r="B28" s="25" t="s">
        <v>140</v>
      </c>
      <c r="C28" s="26" t="s">
        <v>1005</v>
      </c>
      <c r="D28" s="25"/>
      <c r="E28" s="25"/>
      <c r="F28" s="984"/>
      <c r="G28" s="957"/>
      <c r="H28" s="994"/>
    </row>
    <row r="29" spans="1:8" ht="16.2">
      <c r="A29" s="25" t="s">
        <v>935</v>
      </c>
      <c r="B29" s="51"/>
      <c r="C29" s="26" t="s">
        <v>1007</v>
      </c>
      <c r="D29" s="25"/>
      <c r="E29" s="25" t="s">
        <v>118</v>
      </c>
      <c r="F29" s="984">
        <v>32000</v>
      </c>
      <c r="G29" s="957"/>
      <c r="H29" s="994"/>
    </row>
    <row r="30" spans="1:8">
      <c r="A30" s="25"/>
      <c r="B30" s="998"/>
      <c r="C30" s="26"/>
      <c r="D30" s="25"/>
      <c r="E30" s="25"/>
      <c r="F30" s="984"/>
      <c r="G30" s="957"/>
      <c r="H30" s="994"/>
    </row>
    <row r="31" spans="1:8" ht="27.6">
      <c r="A31" s="25" t="s">
        <v>936</v>
      </c>
      <c r="B31" s="956"/>
      <c r="C31" s="28" t="s">
        <v>1171</v>
      </c>
      <c r="D31" s="24"/>
      <c r="E31" s="25" t="s">
        <v>113</v>
      </c>
      <c r="F31" s="984">
        <v>110</v>
      </c>
      <c r="G31" s="957"/>
      <c r="H31" s="994"/>
    </row>
    <row r="32" spans="1:8">
      <c r="A32" s="25"/>
      <c r="B32" s="51"/>
      <c r="C32" s="27"/>
      <c r="D32" s="25"/>
      <c r="E32" s="25"/>
      <c r="F32" s="984"/>
      <c r="G32" s="957"/>
      <c r="H32" s="994"/>
    </row>
    <row r="33" spans="1:8">
      <c r="A33" s="25"/>
      <c r="B33" s="51"/>
      <c r="C33" s="962" t="s">
        <v>164</v>
      </c>
      <c r="D33" s="25"/>
      <c r="E33" s="25"/>
      <c r="F33" s="984"/>
      <c r="G33" s="957"/>
      <c r="H33" s="994"/>
    </row>
    <row r="34" spans="1:8">
      <c r="A34" s="25"/>
      <c r="B34" s="51"/>
      <c r="C34" s="962"/>
      <c r="D34" s="25"/>
      <c r="E34" s="25"/>
      <c r="F34" s="984"/>
      <c r="G34" s="957"/>
      <c r="H34" s="994"/>
    </row>
    <row r="35" spans="1:8" ht="27.6">
      <c r="A35" s="25" t="s">
        <v>937</v>
      </c>
      <c r="B35" s="25" t="s">
        <v>126</v>
      </c>
      <c r="C35" s="28" t="s">
        <v>1055</v>
      </c>
      <c r="D35" s="25"/>
      <c r="E35" s="25" t="s">
        <v>113</v>
      </c>
      <c r="F35" s="984">
        <v>10</v>
      </c>
      <c r="G35" s="957"/>
      <c r="H35" s="994"/>
    </row>
    <row r="36" spans="1:8">
      <c r="A36" s="25"/>
      <c r="B36" s="25"/>
      <c r="C36" s="28"/>
      <c r="D36" s="25"/>
      <c r="E36" s="25"/>
      <c r="F36" s="984"/>
      <c r="G36" s="957"/>
      <c r="H36" s="994"/>
    </row>
    <row r="37" spans="1:8" ht="27.6">
      <c r="A37" s="25" t="s">
        <v>938</v>
      </c>
      <c r="B37" s="25" t="s">
        <v>126</v>
      </c>
      <c r="C37" s="28" t="s">
        <v>1076</v>
      </c>
      <c r="D37" s="25"/>
      <c r="E37" s="25" t="s">
        <v>113</v>
      </c>
      <c r="F37" s="984">
        <v>10</v>
      </c>
      <c r="G37" s="957"/>
      <c r="H37" s="994"/>
    </row>
    <row r="38" spans="1:8">
      <c r="A38" s="25"/>
      <c r="B38" s="25"/>
      <c r="C38" s="28"/>
      <c r="D38" s="25"/>
      <c r="E38" s="25"/>
      <c r="F38" s="984"/>
      <c r="G38" s="957"/>
      <c r="H38" s="994"/>
    </row>
    <row r="39" spans="1:8" ht="27.6">
      <c r="A39" s="25" t="s">
        <v>1118</v>
      </c>
      <c r="B39" s="25" t="s">
        <v>126</v>
      </c>
      <c r="C39" s="28" t="s">
        <v>1152</v>
      </c>
      <c r="D39" s="25"/>
      <c r="E39" s="25" t="s">
        <v>113</v>
      </c>
      <c r="F39" s="984">
        <v>50</v>
      </c>
      <c r="G39" s="957"/>
      <c r="H39" s="994"/>
    </row>
    <row r="40" spans="1:8">
      <c r="A40" s="25"/>
      <c r="B40" s="956"/>
      <c r="C40" s="28"/>
      <c r="D40" s="25"/>
      <c r="E40" s="25"/>
      <c r="F40" s="984"/>
      <c r="G40" s="957"/>
      <c r="H40" s="994"/>
    </row>
    <row r="41" spans="1:8">
      <c r="A41" s="25"/>
      <c r="B41" s="956"/>
      <c r="C41" s="963" t="s">
        <v>1022</v>
      </c>
      <c r="D41" s="25"/>
      <c r="E41" s="25"/>
      <c r="F41" s="984"/>
      <c r="G41" s="957"/>
      <c r="H41" s="994"/>
    </row>
    <row r="42" spans="1:8">
      <c r="A42" s="25"/>
      <c r="B42" s="956"/>
      <c r="C42" s="963"/>
      <c r="D42" s="25"/>
      <c r="E42" s="25"/>
      <c r="F42" s="984"/>
      <c r="G42" s="957"/>
      <c r="H42" s="994"/>
    </row>
    <row r="43" spans="1:8" ht="27.6">
      <c r="A43" s="25" t="s">
        <v>1119</v>
      </c>
      <c r="B43" s="956" t="s">
        <v>126</v>
      </c>
      <c r="C43" s="28" t="s">
        <v>1153</v>
      </c>
      <c r="D43" s="24"/>
      <c r="E43" s="25" t="s">
        <v>113</v>
      </c>
      <c r="F43" s="984">
        <v>80</v>
      </c>
      <c r="G43" s="957"/>
      <c r="H43" s="994"/>
    </row>
    <row r="44" spans="1:8">
      <c r="A44" s="25"/>
      <c r="B44" s="956"/>
      <c r="C44" s="28"/>
      <c r="D44" s="24"/>
      <c r="E44" s="25"/>
      <c r="F44" s="984"/>
      <c r="G44" s="957"/>
      <c r="H44" s="994"/>
    </row>
    <row r="45" spans="1:8" ht="27.6">
      <c r="A45" s="25" t="s">
        <v>1120</v>
      </c>
      <c r="B45" s="956"/>
      <c r="C45" s="28" t="s">
        <v>1154</v>
      </c>
      <c r="D45" s="24"/>
      <c r="E45" s="25" t="s">
        <v>113</v>
      </c>
      <c r="F45" s="984">
        <v>80</v>
      </c>
      <c r="G45" s="957"/>
      <c r="H45" s="994"/>
    </row>
    <row r="46" spans="1:8">
      <c r="A46" s="25"/>
      <c r="B46" s="956"/>
      <c r="C46" s="28"/>
      <c r="D46" s="24"/>
      <c r="E46" s="25"/>
      <c r="F46" s="984"/>
      <c r="G46" s="957"/>
      <c r="H46" s="994"/>
    </row>
    <row r="47" spans="1:8" ht="27.6">
      <c r="A47" s="25" t="s">
        <v>1121</v>
      </c>
      <c r="B47" s="956"/>
      <c r="C47" s="28" t="s">
        <v>1155</v>
      </c>
      <c r="D47" s="24"/>
      <c r="E47" s="25" t="s">
        <v>113</v>
      </c>
      <c r="F47" s="984">
        <f>1500*0.15/3</f>
        <v>75</v>
      </c>
      <c r="G47" s="957"/>
      <c r="H47" s="994"/>
    </row>
    <row r="48" spans="1:8">
      <c r="A48" s="25"/>
      <c r="B48" s="956"/>
      <c r="C48" s="28"/>
      <c r="D48" s="24"/>
      <c r="E48" s="25"/>
      <c r="F48" s="984"/>
      <c r="G48" s="957"/>
      <c r="H48" s="994"/>
    </row>
    <row r="49" spans="1:11" ht="27.6">
      <c r="A49" s="25" t="s">
        <v>1122</v>
      </c>
      <c r="B49" s="956" t="s">
        <v>141</v>
      </c>
      <c r="C49" s="28" t="s">
        <v>1156</v>
      </c>
      <c r="D49" s="24"/>
      <c r="E49" s="25" t="s">
        <v>113</v>
      </c>
      <c r="F49" s="984">
        <v>50</v>
      </c>
      <c r="G49" s="957"/>
      <c r="H49" s="994"/>
    </row>
    <row r="50" spans="1:11">
      <c r="A50" s="25"/>
      <c r="B50" s="956"/>
      <c r="C50" s="28"/>
      <c r="D50" s="24"/>
      <c r="E50" s="25"/>
      <c r="F50" s="984"/>
      <c r="G50" s="957"/>
      <c r="H50" s="994"/>
    </row>
    <row r="51" spans="1:11" ht="27.6">
      <c r="A51" s="25" t="s">
        <v>1123</v>
      </c>
      <c r="B51" s="956"/>
      <c r="C51" s="28" t="s">
        <v>1157</v>
      </c>
      <c r="D51" s="24"/>
      <c r="E51" s="25" t="s">
        <v>113</v>
      </c>
      <c r="F51" s="984">
        <v>50</v>
      </c>
      <c r="G51" s="957"/>
      <c r="H51" s="994"/>
    </row>
    <row r="52" spans="1:11">
      <c r="A52" s="25"/>
      <c r="B52" s="956"/>
      <c r="C52" s="28"/>
      <c r="D52" s="24"/>
      <c r="E52" s="25"/>
      <c r="F52" s="984"/>
      <c r="G52" s="957"/>
      <c r="H52" s="994"/>
    </row>
    <row r="53" spans="1:11" ht="27.6">
      <c r="A53" s="25" t="s">
        <v>1124</v>
      </c>
      <c r="B53" s="956"/>
      <c r="C53" s="28" t="s">
        <v>1158</v>
      </c>
      <c r="D53" s="24"/>
      <c r="E53" s="25" t="s">
        <v>113</v>
      </c>
      <c r="F53" s="984">
        <v>50</v>
      </c>
      <c r="G53" s="957"/>
      <c r="H53" s="994"/>
    </row>
    <row r="54" spans="1:11">
      <c r="A54" s="25"/>
      <c r="B54" s="956"/>
      <c r="C54" s="28"/>
      <c r="D54" s="24"/>
      <c r="E54" s="25"/>
      <c r="F54" s="984"/>
      <c r="G54" s="957"/>
      <c r="H54" s="994"/>
    </row>
    <row r="55" spans="1:11" ht="16.2">
      <c r="A55" s="25" t="s">
        <v>1125</v>
      </c>
      <c r="B55" s="956"/>
      <c r="C55" s="28" t="s">
        <v>1172</v>
      </c>
      <c r="D55" s="24"/>
      <c r="E55" s="25" t="s">
        <v>113</v>
      </c>
      <c r="F55" s="984">
        <v>500</v>
      </c>
      <c r="G55" s="957"/>
      <c r="H55" s="994"/>
      <c r="J55" s="22">
        <f>445</f>
        <v>445</v>
      </c>
    </row>
    <row r="56" spans="1:11">
      <c r="A56" s="25"/>
      <c r="B56" s="956"/>
      <c r="C56" s="28"/>
      <c r="D56" s="24"/>
      <c r="E56" s="25"/>
      <c r="F56" s="984"/>
      <c r="G56" s="957"/>
      <c r="H56" s="994"/>
    </row>
    <row r="57" spans="1:11">
      <c r="A57" s="24"/>
      <c r="B57" s="993"/>
      <c r="C57" s="961"/>
      <c r="D57" s="24"/>
      <c r="E57" s="25"/>
      <c r="F57" s="984"/>
      <c r="G57" s="957"/>
      <c r="H57" s="994"/>
    </row>
    <row r="58" spans="1:11" ht="27.6">
      <c r="A58" s="24" t="s">
        <v>1126</v>
      </c>
      <c r="B58" s="993" t="s">
        <v>1028</v>
      </c>
      <c r="C58" s="961" t="s">
        <v>1161</v>
      </c>
      <c r="D58" s="24"/>
      <c r="E58" s="25" t="s">
        <v>1026</v>
      </c>
      <c r="F58" s="984">
        <v>22000</v>
      </c>
      <c r="G58" s="957"/>
      <c r="H58" s="994"/>
    </row>
    <row r="59" spans="1:11">
      <c r="A59" s="25"/>
      <c r="B59" s="956"/>
      <c r="C59" s="28"/>
      <c r="D59" s="24"/>
      <c r="E59" s="25"/>
      <c r="F59" s="984"/>
      <c r="G59" s="957"/>
      <c r="H59" s="994"/>
      <c r="J59" s="22">
        <v>2.4</v>
      </c>
      <c r="K59" s="22" t="s">
        <v>1025</v>
      </c>
    </row>
    <row r="60" spans="1:11">
      <c r="A60" s="51">
        <v>3.4</v>
      </c>
      <c r="B60" s="56" t="s">
        <v>1012</v>
      </c>
      <c r="C60" s="27" t="s">
        <v>1162</v>
      </c>
      <c r="D60" s="25"/>
      <c r="E60" s="25"/>
      <c r="F60" s="984"/>
      <c r="G60" s="964"/>
      <c r="H60" s="995"/>
    </row>
    <row r="61" spans="1:11">
      <c r="A61" s="25"/>
      <c r="B61" s="25"/>
      <c r="C61" s="28"/>
      <c r="D61" s="24"/>
      <c r="E61" s="25"/>
      <c r="F61" s="984"/>
      <c r="G61" s="957"/>
      <c r="H61" s="995"/>
    </row>
    <row r="62" spans="1:11">
      <c r="A62" s="25"/>
      <c r="B62" s="24"/>
      <c r="C62" s="965" t="s">
        <v>131</v>
      </c>
      <c r="D62" s="24"/>
      <c r="E62" s="30"/>
      <c r="G62" s="957"/>
      <c r="H62" s="995"/>
    </row>
    <row r="63" spans="1:11">
      <c r="A63" s="25"/>
      <c r="B63" s="24"/>
      <c r="C63" s="965"/>
      <c r="D63" s="24"/>
      <c r="E63" s="30"/>
      <c r="G63" s="957"/>
      <c r="H63" s="995"/>
    </row>
    <row r="64" spans="1:11">
      <c r="A64" s="25"/>
      <c r="B64" s="25" t="s">
        <v>1002</v>
      </c>
      <c r="C64" s="28" t="s">
        <v>1003</v>
      </c>
      <c r="D64" s="24"/>
      <c r="E64" s="25"/>
      <c r="F64" s="984"/>
      <c r="G64" s="957"/>
      <c r="H64" s="995"/>
    </row>
    <row r="65" spans="1:8" ht="16.2">
      <c r="A65" s="25" t="s">
        <v>1127</v>
      </c>
      <c r="B65" s="25"/>
      <c r="C65" s="28" t="s">
        <v>1071</v>
      </c>
      <c r="D65" s="24"/>
      <c r="E65" s="25" t="s">
        <v>118</v>
      </c>
      <c r="F65" s="984">
        <v>7000</v>
      </c>
      <c r="G65" s="957"/>
      <c r="H65" s="996"/>
    </row>
    <row r="66" spans="1:8">
      <c r="A66" s="25"/>
      <c r="B66" s="25"/>
      <c r="C66" s="28"/>
      <c r="D66" s="24"/>
      <c r="E66" s="25"/>
      <c r="F66" s="984"/>
      <c r="G66" s="957"/>
      <c r="H66" s="995"/>
    </row>
    <row r="67" spans="1:8" ht="27.6">
      <c r="A67" s="25"/>
      <c r="B67" s="24" t="s">
        <v>999</v>
      </c>
      <c r="C67" s="28" t="s">
        <v>1163</v>
      </c>
      <c r="D67" s="24"/>
      <c r="E67" s="25"/>
      <c r="F67" s="984"/>
      <c r="G67" s="966"/>
      <c r="H67" s="994"/>
    </row>
    <row r="68" spans="1:8" ht="16.2">
      <c r="A68" s="25" t="s">
        <v>1128</v>
      </c>
      <c r="B68" s="24"/>
      <c r="C68" s="28" t="s">
        <v>1000</v>
      </c>
      <c r="D68" s="24"/>
      <c r="E68" s="25" t="s">
        <v>113</v>
      </c>
      <c r="F68" s="984">
        <f>4000*0.5/2</f>
        <v>1000</v>
      </c>
      <c r="G68" s="966"/>
      <c r="H68" s="994"/>
    </row>
    <row r="69" spans="1:8" ht="16.2">
      <c r="A69" s="25" t="s">
        <v>1129</v>
      </c>
      <c r="B69" s="25"/>
      <c r="C69" s="28" t="s">
        <v>1001</v>
      </c>
      <c r="D69" s="24"/>
      <c r="E69" s="25" t="s">
        <v>113</v>
      </c>
      <c r="F69" s="984">
        <f>F68</f>
        <v>1000</v>
      </c>
      <c r="G69" s="966"/>
      <c r="H69" s="994"/>
    </row>
    <row r="70" spans="1:8">
      <c r="A70" s="25"/>
      <c r="B70" s="25"/>
      <c r="C70" s="28"/>
      <c r="D70" s="24"/>
      <c r="E70" s="25"/>
      <c r="F70" s="984"/>
      <c r="G70" s="966"/>
      <c r="H70" s="994"/>
    </row>
    <row r="71" spans="1:8" ht="27.6">
      <c r="A71" s="25"/>
      <c r="B71" s="25"/>
      <c r="C71" s="28" t="s">
        <v>1164</v>
      </c>
      <c r="D71" s="24"/>
      <c r="E71" s="25"/>
      <c r="F71" s="984"/>
      <c r="G71" s="957"/>
      <c r="H71" s="994"/>
    </row>
    <row r="72" spans="1:8" ht="16.2">
      <c r="A72" s="25" t="s">
        <v>1130</v>
      </c>
      <c r="B72" s="24"/>
      <c r="C72" s="28" t="s">
        <v>1000</v>
      </c>
      <c r="D72" s="24"/>
      <c r="E72" s="25" t="s">
        <v>113</v>
      </c>
      <c r="F72" s="984">
        <f>ROUNDUP((4000*0.25/2),-2)</f>
        <v>500</v>
      </c>
      <c r="G72" s="966"/>
      <c r="H72" s="994"/>
    </row>
    <row r="73" spans="1:8" ht="16.2">
      <c r="A73" s="25" t="s">
        <v>1131</v>
      </c>
      <c r="B73" s="25"/>
      <c r="C73" s="28" t="s">
        <v>1001</v>
      </c>
      <c r="D73" s="24"/>
      <c r="E73" s="25" t="s">
        <v>113</v>
      </c>
      <c r="F73" s="984">
        <f>F72</f>
        <v>500</v>
      </c>
      <c r="G73" s="957"/>
      <c r="H73" s="994"/>
    </row>
    <row r="74" spans="1:8">
      <c r="A74" s="25"/>
      <c r="B74" s="25"/>
      <c r="C74" s="28"/>
      <c r="D74" s="24"/>
      <c r="E74" s="25"/>
      <c r="F74" s="984"/>
      <c r="G74" s="957"/>
      <c r="H74" s="994"/>
    </row>
    <row r="75" spans="1:8" ht="63.75" customHeight="1">
      <c r="A75" s="25"/>
      <c r="B75" s="25"/>
      <c r="C75" s="28" t="s">
        <v>1165</v>
      </c>
      <c r="D75" s="24"/>
      <c r="E75" s="25"/>
      <c r="F75" s="984"/>
      <c r="G75" s="957"/>
      <c r="H75" s="994"/>
    </row>
    <row r="76" spans="1:8" ht="30" customHeight="1">
      <c r="A76" s="25" t="s">
        <v>1132</v>
      </c>
      <c r="B76" s="24"/>
      <c r="C76" s="28" t="s">
        <v>1000</v>
      </c>
      <c r="D76" s="24"/>
      <c r="E76" s="25" t="s">
        <v>113</v>
      </c>
      <c r="F76" s="984">
        <f>F72</f>
        <v>500</v>
      </c>
      <c r="G76" s="966"/>
      <c r="H76" s="994"/>
    </row>
    <row r="77" spans="1:8" ht="16.2">
      <c r="A77" s="25" t="s">
        <v>1133</v>
      </c>
      <c r="B77" s="25"/>
      <c r="C77" s="28" t="s">
        <v>1001</v>
      </c>
      <c r="D77" s="24"/>
      <c r="E77" s="25" t="s">
        <v>113</v>
      </c>
      <c r="F77" s="984">
        <f>F73</f>
        <v>500</v>
      </c>
      <c r="G77" s="957"/>
      <c r="H77" s="994"/>
    </row>
    <row r="78" spans="1:8">
      <c r="A78" s="25"/>
      <c r="B78" s="25"/>
      <c r="C78" s="28"/>
      <c r="D78" s="24"/>
      <c r="E78" s="25"/>
      <c r="F78" s="984"/>
      <c r="G78" s="957"/>
      <c r="H78" s="994"/>
    </row>
    <row r="79" spans="1:8" ht="28.2" thickBot="1">
      <c r="A79" s="25" t="s">
        <v>1134</v>
      </c>
      <c r="B79" s="25"/>
      <c r="C79" s="28" t="s">
        <v>1029</v>
      </c>
      <c r="D79" s="24" t="s">
        <v>1015</v>
      </c>
      <c r="E79" s="25" t="s">
        <v>113</v>
      </c>
      <c r="F79" s="984">
        <v>30</v>
      </c>
      <c r="G79" s="957"/>
      <c r="H79" s="994"/>
    </row>
    <row r="80" spans="1:8" ht="39.75" customHeight="1" thickBot="1">
      <c r="A80" s="2146" t="s">
        <v>48</v>
      </c>
      <c r="B80" s="2147"/>
      <c r="C80" s="2147"/>
      <c r="D80" s="2147"/>
      <c r="E80" s="2147"/>
      <c r="F80" s="989"/>
      <c r="G80" s="970"/>
      <c r="H80" s="997"/>
    </row>
    <row r="81" spans="1:8">
      <c r="A81" s="971"/>
      <c r="B81" s="971"/>
      <c r="C81" s="972"/>
      <c r="D81" s="973"/>
      <c r="E81" s="971"/>
      <c r="F81" s="990"/>
      <c r="G81" s="974"/>
      <c r="H81" s="975"/>
    </row>
    <row r="82" spans="1:8">
      <c r="A82" s="1244"/>
      <c r="B82" s="1244"/>
      <c r="C82" s="1245"/>
      <c r="D82" s="1246"/>
      <c r="E82" s="1244"/>
      <c r="F82" s="1247"/>
      <c r="G82" s="1248"/>
      <c r="H82" s="1249"/>
    </row>
    <row r="83" spans="1:8" ht="14.4" thickBot="1">
      <c r="A83" s="976"/>
      <c r="B83" s="976"/>
      <c r="C83" s="977"/>
      <c r="D83" s="978"/>
      <c r="E83" s="976"/>
      <c r="F83" s="991"/>
      <c r="G83" s="979"/>
      <c r="H83" s="980"/>
    </row>
    <row r="84" spans="1:8" ht="15" customHeight="1">
      <c r="A84" s="2142" t="s">
        <v>111</v>
      </c>
      <c r="B84" s="2142" t="s">
        <v>112</v>
      </c>
      <c r="C84" s="2139" t="s">
        <v>2</v>
      </c>
      <c r="D84" s="910" t="s">
        <v>882</v>
      </c>
      <c r="E84" s="930" t="s">
        <v>3</v>
      </c>
      <c r="F84" s="985" t="s">
        <v>564</v>
      </c>
      <c r="G84" s="959" t="s">
        <v>5</v>
      </c>
      <c r="H84" s="930" t="s">
        <v>565</v>
      </c>
    </row>
    <row r="85" spans="1:8" ht="14.4" thickBot="1">
      <c r="A85" s="2143"/>
      <c r="B85" s="2143"/>
      <c r="C85" s="2140"/>
      <c r="D85" s="911" t="s">
        <v>883</v>
      </c>
      <c r="E85" s="932"/>
      <c r="F85" s="986"/>
      <c r="G85" s="960"/>
      <c r="H85" s="932" t="s">
        <v>6</v>
      </c>
    </row>
    <row r="86" spans="1:8" ht="14.4" thickBot="1">
      <c r="A86" s="2146" t="s">
        <v>49</v>
      </c>
      <c r="B86" s="2147"/>
      <c r="C86" s="2147"/>
      <c r="D86" s="2147"/>
      <c r="E86" s="2147"/>
      <c r="F86" s="989"/>
      <c r="G86" s="970"/>
      <c r="H86" s="997"/>
    </row>
    <row r="87" spans="1:8">
      <c r="A87" s="25"/>
      <c r="B87" s="25"/>
      <c r="C87" s="28"/>
      <c r="D87" s="24"/>
      <c r="E87" s="25"/>
      <c r="F87" s="984"/>
      <c r="G87" s="957"/>
      <c r="H87" s="994"/>
    </row>
    <row r="88" spans="1:8">
      <c r="A88" s="25"/>
      <c r="B88" s="25"/>
      <c r="C88" s="28"/>
      <c r="D88" s="24"/>
      <c r="E88" s="25"/>
      <c r="F88" s="984"/>
      <c r="G88" s="957"/>
      <c r="H88" s="994"/>
    </row>
    <row r="89" spans="1:8">
      <c r="A89" s="51">
        <v>3.5</v>
      </c>
      <c r="B89" s="51" t="s">
        <v>1008</v>
      </c>
      <c r="C89" s="54" t="s">
        <v>1013</v>
      </c>
      <c r="D89" s="24"/>
      <c r="E89" s="25"/>
      <c r="F89" s="984"/>
      <c r="G89" s="957"/>
      <c r="H89" s="994"/>
    </row>
    <row r="90" spans="1:8" ht="19.5" customHeight="1">
      <c r="A90" s="25"/>
      <c r="B90" s="25" t="s">
        <v>127</v>
      </c>
      <c r="C90" s="967" t="s">
        <v>1014</v>
      </c>
      <c r="D90" s="24"/>
      <c r="E90" s="25"/>
      <c r="F90" s="984"/>
      <c r="G90" s="957"/>
      <c r="H90" s="994"/>
    </row>
    <row r="91" spans="1:8" ht="51.75" customHeight="1">
      <c r="A91" s="25" t="s">
        <v>1135</v>
      </c>
      <c r="B91" s="25"/>
      <c r="C91" s="28" t="s">
        <v>1030</v>
      </c>
      <c r="D91" s="24" t="s">
        <v>1015</v>
      </c>
      <c r="E91" s="25" t="s">
        <v>113</v>
      </c>
      <c r="F91" s="984">
        <v>30</v>
      </c>
      <c r="G91" s="957"/>
      <c r="H91" s="994"/>
    </row>
    <row r="92" spans="1:8" ht="15" customHeight="1">
      <c r="A92" s="25"/>
      <c r="B92" s="25"/>
      <c r="C92" s="28"/>
      <c r="D92" s="24"/>
      <c r="E92" s="25"/>
      <c r="F92" s="984"/>
      <c r="G92" s="957"/>
      <c r="H92" s="994"/>
    </row>
    <row r="93" spans="1:8" ht="16.2">
      <c r="A93" s="25" t="s">
        <v>1136</v>
      </c>
      <c r="B93" s="25"/>
      <c r="C93" s="28" t="s">
        <v>1032</v>
      </c>
      <c r="D93" s="24" t="s">
        <v>1015</v>
      </c>
      <c r="E93" s="25" t="s">
        <v>113</v>
      </c>
      <c r="F93" s="984">
        <v>2</v>
      </c>
      <c r="G93" s="957"/>
      <c r="H93" s="994"/>
    </row>
    <row r="94" spans="1:8">
      <c r="A94" s="25"/>
      <c r="B94" s="25"/>
      <c r="C94" s="28"/>
      <c r="D94" s="24"/>
      <c r="E94" s="25"/>
      <c r="F94" s="984"/>
      <c r="G94" s="957"/>
      <c r="H94" s="994"/>
    </row>
    <row r="95" spans="1:8" ht="27.6">
      <c r="A95" s="67" t="s">
        <v>1150</v>
      </c>
      <c r="B95" s="25"/>
      <c r="C95" s="28" t="s">
        <v>1078</v>
      </c>
      <c r="D95" s="24" t="s">
        <v>1015</v>
      </c>
      <c r="E95" s="25" t="s">
        <v>113</v>
      </c>
      <c r="F95" s="984">
        <v>30</v>
      </c>
      <c r="G95" s="957"/>
      <c r="H95" s="994"/>
    </row>
    <row r="96" spans="1:8">
      <c r="A96" s="67"/>
      <c r="B96" s="25"/>
      <c r="C96" s="28"/>
      <c r="D96" s="24"/>
      <c r="E96" s="25"/>
      <c r="F96" s="984"/>
      <c r="G96" s="957"/>
      <c r="H96" s="994"/>
    </row>
    <row r="97" spans="1:8" ht="27.6">
      <c r="A97" s="25" t="s">
        <v>1151</v>
      </c>
      <c r="B97" s="25"/>
      <c r="C97" s="28" t="s">
        <v>1035</v>
      </c>
      <c r="D97" s="24" t="s">
        <v>1015</v>
      </c>
      <c r="E97" s="25" t="s">
        <v>113</v>
      </c>
      <c r="F97" s="984">
        <v>5</v>
      </c>
      <c r="G97" s="957"/>
      <c r="H97" s="994"/>
    </row>
    <row r="98" spans="1:8">
      <c r="A98" s="25"/>
      <c r="B98" s="25"/>
      <c r="C98" s="28"/>
      <c r="D98" s="24"/>
      <c r="E98" s="25"/>
      <c r="F98" s="984"/>
      <c r="G98" s="957"/>
      <c r="H98" s="995"/>
    </row>
    <row r="99" spans="1:8">
      <c r="A99" s="51">
        <v>3.6</v>
      </c>
      <c r="B99" s="51" t="s">
        <v>132</v>
      </c>
      <c r="C99" s="27" t="s">
        <v>133</v>
      </c>
      <c r="D99" s="51"/>
      <c r="E99" s="25"/>
      <c r="F99" s="984"/>
      <c r="G99" s="966"/>
      <c r="H99" s="994"/>
    </row>
    <row r="100" spans="1:8">
      <c r="A100" s="25"/>
      <c r="B100" s="25"/>
      <c r="C100" s="962" t="s">
        <v>1017</v>
      </c>
      <c r="D100" s="25"/>
      <c r="E100" s="25"/>
      <c r="F100" s="984"/>
      <c r="G100" s="966"/>
      <c r="H100" s="994"/>
    </row>
    <row r="101" spans="1:8">
      <c r="A101" s="25"/>
      <c r="B101" s="25" t="s">
        <v>134</v>
      </c>
      <c r="C101" s="26" t="s">
        <v>135</v>
      </c>
      <c r="D101" s="25"/>
      <c r="E101" s="25"/>
      <c r="F101" s="984"/>
      <c r="G101" s="966"/>
      <c r="H101" s="994"/>
    </row>
    <row r="102" spans="1:8">
      <c r="A102" s="25"/>
      <c r="B102" s="25"/>
      <c r="C102" s="28"/>
      <c r="D102" s="24"/>
      <c r="E102" s="25"/>
      <c r="F102" s="984"/>
      <c r="G102" s="966"/>
      <c r="H102" s="994"/>
    </row>
    <row r="103" spans="1:8">
      <c r="A103" s="25" t="s">
        <v>1137</v>
      </c>
      <c r="B103" s="25"/>
      <c r="C103" s="28" t="s">
        <v>1173</v>
      </c>
      <c r="D103" s="24" t="s">
        <v>884</v>
      </c>
      <c r="E103" s="25" t="s">
        <v>136</v>
      </c>
      <c r="F103" s="984">
        <v>240</v>
      </c>
      <c r="G103" s="966"/>
      <c r="H103" s="994"/>
    </row>
    <row r="104" spans="1:8">
      <c r="A104" s="25"/>
      <c r="B104" s="25"/>
      <c r="C104" s="28"/>
      <c r="D104" s="24"/>
      <c r="E104" s="25"/>
      <c r="F104" s="984"/>
      <c r="G104" s="966"/>
      <c r="H104" s="994"/>
    </row>
    <row r="105" spans="1:8" s="946" customFormat="1" ht="27.6">
      <c r="A105" s="25" t="s">
        <v>1138</v>
      </c>
      <c r="B105" s="25"/>
      <c r="C105" s="28" t="s">
        <v>1079</v>
      </c>
      <c r="D105" s="24" t="s">
        <v>1020</v>
      </c>
      <c r="E105" s="25" t="s">
        <v>138</v>
      </c>
      <c r="F105" s="984">
        <v>2</v>
      </c>
      <c r="G105" s="966"/>
      <c r="H105" s="994"/>
    </row>
    <row r="106" spans="1:8" s="946" customFormat="1">
      <c r="A106" s="25"/>
      <c r="B106" s="25"/>
      <c r="C106" s="28"/>
      <c r="D106" s="24"/>
      <c r="E106" s="25"/>
      <c r="F106" s="984"/>
      <c r="G106" s="966"/>
      <c r="H106" s="994"/>
    </row>
    <row r="107" spans="1:8" s="946" customFormat="1" ht="16.2">
      <c r="A107" s="25" t="s">
        <v>1139</v>
      </c>
      <c r="B107" s="25"/>
      <c r="C107" s="28" t="s">
        <v>1080</v>
      </c>
      <c r="D107" s="24" t="s">
        <v>1015</v>
      </c>
      <c r="E107" s="25" t="s">
        <v>113</v>
      </c>
      <c r="F107" s="984">
        <v>2</v>
      </c>
      <c r="G107" s="966"/>
      <c r="H107" s="994"/>
    </row>
    <row r="108" spans="1:8" s="946" customFormat="1">
      <c r="A108" s="25"/>
      <c r="B108" s="25"/>
      <c r="C108" s="28"/>
      <c r="D108" s="24"/>
      <c r="E108" s="25"/>
      <c r="F108" s="984"/>
      <c r="G108" s="966"/>
      <c r="H108" s="994"/>
    </row>
    <row r="109" spans="1:8" s="946" customFormat="1">
      <c r="A109" s="25" t="s">
        <v>1140</v>
      </c>
      <c r="B109" s="25"/>
      <c r="C109" s="28" t="s">
        <v>1081</v>
      </c>
      <c r="D109" s="24" t="s">
        <v>1015</v>
      </c>
      <c r="E109" s="25" t="s">
        <v>138</v>
      </c>
      <c r="F109" s="984">
        <v>4</v>
      </c>
      <c r="G109" s="966"/>
      <c r="H109" s="994"/>
    </row>
    <row r="110" spans="1:8" s="946" customFormat="1">
      <c r="A110" s="25"/>
      <c r="B110" s="25"/>
      <c r="C110" s="28"/>
      <c r="D110" s="24"/>
      <c r="E110" s="25"/>
      <c r="F110" s="984"/>
      <c r="G110" s="966"/>
      <c r="H110" s="994"/>
    </row>
    <row r="111" spans="1:8" s="946" customFormat="1">
      <c r="A111" s="25" t="s">
        <v>1141</v>
      </c>
      <c r="B111" s="25"/>
      <c r="C111" s="28" t="s">
        <v>1082</v>
      </c>
      <c r="D111" s="24" t="s">
        <v>1015</v>
      </c>
      <c r="E111" s="25" t="s">
        <v>1018</v>
      </c>
      <c r="F111" s="984">
        <v>4</v>
      </c>
      <c r="G111" s="966"/>
      <c r="H111" s="994"/>
    </row>
    <row r="112" spans="1:8" s="946" customFormat="1">
      <c r="A112" s="25"/>
      <c r="B112" s="25"/>
      <c r="C112" s="28"/>
      <c r="D112" s="24"/>
      <c r="E112" s="25"/>
      <c r="F112" s="984"/>
      <c r="G112" s="966"/>
      <c r="H112" s="994"/>
    </row>
    <row r="113" spans="1:10" s="946" customFormat="1">
      <c r="A113" s="25"/>
      <c r="B113" s="25"/>
      <c r="C113" s="28"/>
      <c r="D113" s="24"/>
      <c r="E113" s="25"/>
      <c r="F113" s="984"/>
      <c r="G113" s="966"/>
      <c r="H113" s="994"/>
    </row>
    <row r="114" spans="1:10">
      <c r="A114" s="51">
        <v>3.7</v>
      </c>
      <c r="B114" s="25" t="s">
        <v>137</v>
      </c>
      <c r="C114" s="963" t="s">
        <v>1021</v>
      </c>
      <c r="D114" s="56"/>
      <c r="E114" s="25"/>
      <c r="F114" s="984"/>
      <c r="G114" s="966"/>
      <c r="H114" s="994"/>
    </row>
    <row r="115" spans="1:10">
      <c r="A115" s="25"/>
      <c r="B115" s="25"/>
      <c r="C115" s="28"/>
      <c r="D115" s="24"/>
      <c r="E115" s="25"/>
      <c r="F115" s="984"/>
      <c r="G115" s="966"/>
      <c r="H115" s="994"/>
    </row>
    <row r="116" spans="1:10" ht="27.6">
      <c r="A116" s="25" t="s">
        <v>1142</v>
      </c>
      <c r="B116" s="25"/>
      <c r="C116" s="28" t="s">
        <v>1045</v>
      </c>
      <c r="D116" s="24" t="s">
        <v>884</v>
      </c>
      <c r="E116" s="25" t="s">
        <v>138</v>
      </c>
      <c r="F116" s="984">
        <v>1</v>
      </c>
      <c r="G116" s="966"/>
      <c r="H116" s="994"/>
    </row>
    <row r="117" spans="1:10">
      <c r="A117" s="25" t="s">
        <v>1143</v>
      </c>
      <c r="B117" s="25"/>
      <c r="C117" s="28" t="s">
        <v>1046</v>
      </c>
      <c r="D117" s="24" t="s">
        <v>884</v>
      </c>
      <c r="E117" s="25" t="s">
        <v>138</v>
      </c>
      <c r="F117" s="984">
        <v>1</v>
      </c>
      <c r="G117" s="966"/>
      <c r="H117" s="994"/>
    </row>
    <row r="118" spans="1:10">
      <c r="A118" s="25"/>
      <c r="B118" s="25"/>
      <c r="C118" s="28"/>
      <c r="D118" s="24"/>
      <c r="E118" s="25"/>
      <c r="F118" s="984"/>
      <c r="G118" s="966"/>
      <c r="H118" s="994"/>
    </row>
    <row r="119" spans="1:10">
      <c r="A119" s="51">
        <v>3.8</v>
      </c>
      <c r="B119" s="51" t="s">
        <v>1047</v>
      </c>
      <c r="C119" s="54" t="s">
        <v>1023</v>
      </c>
      <c r="D119" s="56"/>
      <c r="E119" s="25"/>
      <c r="F119" s="984"/>
      <c r="G119" s="957"/>
      <c r="H119" s="995"/>
    </row>
    <row r="120" spans="1:10">
      <c r="A120" s="25"/>
      <c r="B120" s="25"/>
      <c r="C120" s="28"/>
      <c r="D120" s="24"/>
      <c r="E120" s="25"/>
      <c r="F120" s="984"/>
      <c r="G120" s="957"/>
      <c r="H120" s="995"/>
    </row>
    <row r="121" spans="1:10" ht="55.2">
      <c r="A121" s="25"/>
      <c r="B121" s="956" t="s">
        <v>1048</v>
      </c>
      <c r="C121" s="963" t="s">
        <v>1024</v>
      </c>
      <c r="D121" s="24"/>
      <c r="E121" s="47"/>
      <c r="F121" s="984"/>
      <c r="G121" s="957"/>
      <c r="H121" s="994"/>
    </row>
    <row r="122" spans="1:10">
      <c r="A122" s="25"/>
      <c r="B122" s="956"/>
      <c r="C122" s="963"/>
      <c r="D122" s="24"/>
      <c r="E122" s="47"/>
      <c r="F122" s="984"/>
      <c r="G122" s="957"/>
      <c r="H122" s="994"/>
    </row>
    <row r="123" spans="1:10" ht="27.6">
      <c r="A123" s="25" t="s">
        <v>1144</v>
      </c>
      <c r="B123" s="956"/>
      <c r="C123" s="28" t="s">
        <v>1169</v>
      </c>
      <c r="D123" s="24" t="s">
        <v>884</v>
      </c>
      <c r="E123" s="25" t="s">
        <v>118</v>
      </c>
      <c r="F123" s="984">
        <v>300</v>
      </c>
      <c r="G123" s="957"/>
      <c r="H123" s="994"/>
      <c r="J123" s="22">
        <f>1500*0.3*4</f>
        <v>1800</v>
      </c>
    </row>
    <row r="124" spans="1:10">
      <c r="A124" s="25"/>
      <c r="C124" s="28"/>
      <c r="D124" s="24"/>
      <c r="E124" s="25"/>
      <c r="F124" s="984"/>
      <c r="G124" s="957"/>
      <c r="H124" s="994"/>
    </row>
    <row r="125" spans="1:10" ht="27.6">
      <c r="A125" s="25" t="s">
        <v>1145</v>
      </c>
      <c r="B125" s="981"/>
      <c r="C125" s="982" t="s">
        <v>1049</v>
      </c>
      <c r="D125" s="24" t="s">
        <v>1015</v>
      </c>
      <c r="E125" s="25" t="s">
        <v>118</v>
      </c>
      <c r="F125" s="984">
        <v>5800</v>
      </c>
      <c r="G125" s="957"/>
      <c r="H125" s="994"/>
    </row>
    <row r="126" spans="1:10">
      <c r="A126" s="25"/>
      <c r="B126" s="981"/>
      <c r="C126" s="982"/>
      <c r="D126" s="24"/>
      <c r="E126" s="25"/>
      <c r="F126" s="984"/>
      <c r="G126" s="957"/>
      <c r="H126" s="994"/>
    </row>
    <row r="127" spans="1:10" ht="27.6">
      <c r="A127" s="25" t="s">
        <v>1146</v>
      </c>
      <c r="B127" s="981"/>
      <c r="C127" s="982" t="s">
        <v>1050</v>
      </c>
      <c r="D127" s="24" t="s">
        <v>1015</v>
      </c>
      <c r="E127" s="25" t="s">
        <v>118</v>
      </c>
      <c r="F127" s="992">
        <f>F125</f>
        <v>5800</v>
      </c>
      <c r="G127" s="957"/>
      <c r="H127" s="994"/>
    </row>
    <row r="128" spans="1:10">
      <c r="A128" s="25"/>
      <c r="B128" s="981"/>
      <c r="C128" s="982"/>
      <c r="D128" s="24"/>
      <c r="E128" s="25"/>
      <c r="F128" s="992"/>
      <c r="G128" s="957"/>
      <c r="H128" s="994"/>
    </row>
    <row r="129" spans="1:12" ht="30">
      <c r="A129" s="25" t="s">
        <v>1147</v>
      </c>
      <c r="B129" s="956"/>
      <c r="C129" s="28" t="s">
        <v>1051</v>
      </c>
      <c r="D129" s="24" t="s">
        <v>884</v>
      </c>
      <c r="E129" s="25" t="s">
        <v>118</v>
      </c>
      <c r="F129" s="984">
        <f>F125</f>
        <v>5800</v>
      </c>
      <c r="G129" s="957"/>
      <c r="H129" s="994"/>
    </row>
    <row r="130" spans="1:12">
      <c r="A130" s="25"/>
      <c r="B130" s="956"/>
      <c r="C130" s="28"/>
      <c r="D130" s="24"/>
      <c r="E130" s="25"/>
      <c r="F130" s="984"/>
      <c r="G130" s="957"/>
      <c r="H130" s="994"/>
    </row>
    <row r="131" spans="1:12" ht="16.2">
      <c r="A131" s="25" t="s">
        <v>1148</v>
      </c>
      <c r="B131" s="956" t="s">
        <v>1052</v>
      </c>
      <c r="C131" s="28" t="s">
        <v>1149</v>
      </c>
      <c r="D131" s="24" t="s">
        <v>1015</v>
      </c>
      <c r="E131" s="25" t="s">
        <v>118</v>
      </c>
      <c r="F131" s="984">
        <f>30*50</f>
        <v>1500</v>
      </c>
      <c r="G131" s="957"/>
      <c r="H131" s="996"/>
    </row>
    <row r="132" spans="1:12">
      <c r="A132" s="25"/>
      <c r="B132" s="956"/>
      <c r="C132" s="28"/>
      <c r="D132" s="24"/>
      <c r="E132" s="25"/>
      <c r="F132" s="984"/>
      <c r="G132" s="957"/>
      <c r="H132" s="26"/>
    </row>
    <row r="133" spans="1:12">
      <c r="A133" s="25"/>
      <c r="B133" s="956"/>
      <c r="C133" s="28"/>
      <c r="D133" s="24"/>
      <c r="E133" s="25"/>
      <c r="F133" s="984"/>
      <c r="G133" s="957"/>
      <c r="H133" s="26"/>
    </row>
    <row r="134" spans="1:12">
      <c r="A134" s="25"/>
      <c r="B134" s="956"/>
      <c r="C134" s="28"/>
      <c r="D134" s="24"/>
      <c r="E134" s="25"/>
      <c r="F134" s="984"/>
      <c r="G134" s="957"/>
      <c r="H134" s="26"/>
    </row>
    <row r="135" spans="1:12">
      <c r="A135" s="30"/>
      <c r="B135" s="956"/>
      <c r="C135" s="28"/>
      <c r="D135" s="24"/>
      <c r="E135" s="25"/>
      <c r="F135" s="984"/>
      <c r="G135" s="957"/>
      <c r="H135" s="26"/>
    </row>
    <row r="136" spans="1:12">
      <c r="A136" s="25"/>
      <c r="B136" s="956"/>
      <c r="C136" s="28"/>
      <c r="D136" s="24"/>
      <c r="E136" s="25"/>
      <c r="F136" s="984"/>
      <c r="G136" s="957"/>
      <c r="H136" s="26"/>
    </row>
    <row r="137" spans="1:12">
      <c r="A137" s="25"/>
      <c r="B137" s="956"/>
      <c r="C137" s="28"/>
      <c r="D137" s="24"/>
      <c r="E137" s="25"/>
      <c r="F137" s="984"/>
      <c r="G137" s="957"/>
      <c r="H137" s="26"/>
    </row>
    <row r="138" spans="1:12">
      <c r="A138" s="25"/>
      <c r="B138" s="956"/>
      <c r="C138" s="28"/>
      <c r="D138" s="24"/>
      <c r="E138" s="25"/>
      <c r="F138" s="984"/>
      <c r="G138" s="957"/>
      <c r="H138" s="26"/>
    </row>
    <row r="139" spans="1:12">
      <c r="A139" s="25"/>
      <c r="B139" s="956"/>
      <c r="C139" s="28"/>
      <c r="D139" s="24"/>
      <c r="E139" s="25"/>
      <c r="F139" s="984"/>
      <c r="G139" s="957"/>
      <c r="H139" s="26"/>
    </row>
    <row r="140" spans="1:12">
      <c r="A140" s="25"/>
      <c r="B140" s="956"/>
      <c r="C140" s="28"/>
      <c r="D140" s="24"/>
      <c r="E140" s="25"/>
      <c r="F140" s="984"/>
      <c r="G140" s="957"/>
      <c r="H140" s="26"/>
    </row>
    <row r="141" spans="1:12">
      <c r="A141" s="25"/>
      <c r="B141" s="956"/>
      <c r="C141" s="28"/>
      <c r="D141" s="24"/>
      <c r="E141" s="25"/>
      <c r="F141" s="984"/>
      <c r="G141" s="957"/>
      <c r="H141" s="26"/>
    </row>
    <row r="142" spans="1:12">
      <c r="A142" s="25"/>
      <c r="B142" s="956"/>
      <c r="C142" s="28"/>
      <c r="D142" s="24"/>
      <c r="E142" s="25"/>
      <c r="F142" s="984"/>
      <c r="G142" s="957"/>
      <c r="H142" s="26"/>
    </row>
    <row r="143" spans="1:12" ht="14.4" thickBot="1">
      <c r="A143" s="914"/>
      <c r="B143" s="983"/>
      <c r="C143" s="968"/>
      <c r="D143" s="969"/>
      <c r="E143" s="914"/>
      <c r="F143" s="988"/>
      <c r="G143" s="958"/>
      <c r="H143" s="915"/>
    </row>
    <row r="144" spans="1:12" ht="40.5" customHeight="1" thickBot="1">
      <c r="A144" s="2146" t="s">
        <v>139</v>
      </c>
      <c r="B144" s="2147"/>
      <c r="C144" s="2147"/>
      <c r="D144" s="2147"/>
      <c r="E144" s="2147"/>
      <c r="F144" s="989"/>
      <c r="G144" s="190"/>
      <c r="H144" s="997"/>
      <c r="I144" s="55"/>
      <c r="J144" s="55"/>
      <c r="K144" s="55"/>
      <c r="L144" s="55"/>
    </row>
    <row r="145" spans="1:7">
      <c r="A145" s="22"/>
      <c r="B145" s="22"/>
      <c r="G145" s="176"/>
    </row>
    <row r="146" spans="1:7">
      <c r="A146" s="22"/>
      <c r="B146" s="22"/>
      <c r="G146" s="176"/>
    </row>
    <row r="147" spans="1:7">
      <c r="A147" s="22"/>
      <c r="B147" s="22"/>
      <c r="G147" s="176"/>
    </row>
    <row r="148" spans="1:7">
      <c r="A148" s="22"/>
    </row>
  </sheetData>
  <mergeCells count="9">
    <mergeCell ref="A86:E86"/>
    <mergeCell ref="A144:E144"/>
    <mergeCell ref="A7:A8"/>
    <mergeCell ref="B7:B8"/>
    <mergeCell ref="C7:C8"/>
    <mergeCell ref="A80:E80"/>
    <mergeCell ref="A84:A85"/>
    <mergeCell ref="B84:B85"/>
    <mergeCell ref="C84:C85"/>
  </mergeCells>
  <pageMargins left="0.70866141732283472" right="0.70866141732283472" top="0.74803149606299213" bottom="0.74803149606299213" header="0.31496062992125984" footer="0.31496062992125984"/>
  <pageSetup paperSize="9" scale="45" firstPageNumber="5" fitToHeight="0" orientation="portrait" r:id="rId1"/>
  <headerFooter scaleWithDoc="0" alignWithMargins="0">
    <oddHeader>&amp;C&amp;"Arial Narrow,Regular"&amp;10C80.7</oddHeader>
  </headerFooter>
  <rowBreaks count="1" manualBreakCount="1">
    <brk id="80"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5"/>
  <sheetViews>
    <sheetView view="pageBreakPreview" topLeftCell="A49" zoomScaleNormal="100" zoomScaleSheetLayoutView="100" workbookViewId="0">
      <selection activeCell="H14" sqref="H14"/>
    </sheetView>
  </sheetViews>
  <sheetFormatPr defaultColWidth="8.88671875" defaultRowHeight="13.8"/>
  <cols>
    <col min="1" max="1" width="12.6640625" style="55" customWidth="1"/>
    <col min="2" max="2" width="15.6640625" style="55" customWidth="1"/>
    <col min="3" max="3" width="50.6640625" style="22" customWidth="1"/>
    <col min="4" max="4" width="15.6640625" style="22" customWidth="1"/>
    <col min="5" max="5" width="15.6640625" style="55" customWidth="1"/>
    <col min="6" max="7" width="15.6640625" style="52" customWidth="1"/>
    <col min="8" max="8" width="15.6640625" style="22" customWidth="1"/>
    <col min="9" max="255" width="8.88671875" style="22"/>
    <col min="256" max="256" width="12.6640625" style="22" customWidth="1"/>
    <col min="257" max="257" width="15.6640625" style="22" customWidth="1"/>
    <col min="258" max="258" width="50.6640625" style="22" customWidth="1"/>
    <col min="259" max="259" width="9.6640625" style="22" customWidth="1"/>
    <col min="260" max="261" width="11.6640625" style="22" customWidth="1"/>
    <col min="262" max="262" width="16.6640625" style="22" customWidth="1"/>
    <col min="263" max="511" width="8.88671875" style="22"/>
    <col min="512" max="512" width="12.6640625" style="22" customWidth="1"/>
    <col min="513" max="513" width="15.6640625" style="22" customWidth="1"/>
    <col min="514" max="514" width="50.6640625" style="22" customWidth="1"/>
    <col min="515" max="515" width="9.6640625" style="22" customWidth="1"/>
    <col min="516" max="517" width="11.6640625" style="22" customWidth="1"/>
    <col min="518" max="518" width="16.6640625" style="22" customWidth="1"/>
    <col min="519" max="767" width="8.88671875" style="22"/>
    <col min="768" max="768" width="12.6640625" style="22" customWidth="1"/>
    <col min="769" max="769" width="15.6640625" style="22" customWidth="1"/>
    <col min="770" max="770" width="50.6640625" style="22" customWidth="1"/>
    <col min="771" max="771" width="9.6640625" style="22" customWidth="1"/>
    <col min="772" max="773" width="11.6640625" style="22" customWidth="1"/>
    <col min="774" max="774" width="16.6640625" style="22" customWidth="1"/>
    <col min="775" max="1023" width="8.88671875" style="22"/>
    <col min="1024" max="1024" width="12.6640625" style="22" customWidth="1"/>
    <col min="1025" max="1025" width="15.6640625" style="22" customWidth="1"/>
    <col min="1026" max="1026" width="50.6640625" style="22" customWidth="1"/>
    <col min="1027" max="1027" width="9.6640625" style="22" customWidth="1"/>
    <col min="1028" max="1029" width="11.6640625" style="22" customWidth="1"/>
    <col min="1030" max="1030" width="16.6640625" style="22" customWidth="1"/>
    <col min="1031" max="1279" width="8.88671875" style="22"/>
    <col min="1280" max="1280" width="12.6640625" style="22" customWidth="1"/>
    <col min="1281" max="1281" width="15.6640625" style="22" customWidth="1"/>
    <col min="1282" max="1282" width="50.6640625" style="22" customWidth="1"/>
    <col min="1283" max="1283" width="9.6640625" style="22" customWidth="1"/>
    <col min="1284" max="1285" width="11.6640625" style="22" customWidth="1"/>
    <col min="1286" max="1286" width="16.6640625" style="22" customWidth="1"/>
    <col min="1287" max="1535" width="8.88671875" style="22"/>
    <col min="1536" max="1536" width="12.6640625" style="22" customWidth="1"/>
    <col min="1537" max="1537" width="15.6640625" style="22" customWidth="1"/>
    <col min="1538" max="1538" width="50.6640625" style="22" customWidth="1"/>
    <col min="1539" max="1539" width="9.6640625" style="22" customWidth="1"/>
    <col min="1540" max="1541" width="11.6640625" style="22" customWidth="1"/>
    <col min="1542" max="1542" width="16.6640625" style="22" customWidth="1"/>
    <col min="1543" max="1791" width="8.88671875" style="22"/>
    <col min="1792" max="1792" width="12.6640625" style="22" customWidth="1"/>
    <col min="1793" max="1793" width="15.6640625" style="22" customWidth="1"/>
    <col min="1794" max="1794" width="50.6640625" style="22" customWidth="1"/>
    <col min="1795" max="1795" width="9.6640625" style="22" customWidth="1"/>
    <col min="1796" max="1797" width="11.6640625" style="22" customWidth="1"/>
    <col min="1798" max="1798" width="16.6640625" style="22" customWidth="1"/>
    <col min="1799" max="2047" width="8.88671875" style="22"/>
    <col min="2048" max="2048" width="12.6640625" style="22" customWidth="1"/>
    <col min="2049" max="2049" width="15.6640625" style="22" customWidth="1"/>
    <col min="2050" max="2050" width="50.6640625" style="22" customWidth="1"/>
    <col min="2051" max="2051" width="9.6640625" style="22" customWidth="1"/>
    <col min="2052" max="2053" width="11.6640625" style="22" customWidth="1"/>
    <col min="2054" max="2054" width="16.6640625" style="22" customWidth="1"/>
    <col min="2055" max="2303" width="8.88671875" style="22"/>
    <col min="2304" max="2304" width="12.6640625" style="22" customWidth="1"/>
    <col min="2305" max="2305" width="15.6640625" style="22" customWidth="1"/>
    <col min="2306" max="2306" width="50.6640625" style="22" customWidth="1"/>
    <col min="2307" max="2307" width="9.6640625" style="22" customWidth="1"/>
    <col min="2308" max="2309" width="11.6640625" style="22" customWidth="1"/>
    <col min="2310" max="2310" width="16.6640625" style="22" customWidth="1"/>
    <col min="2311" max="2559" width="8.88671875" style="22"/>
    <col min="2560" max="2560" width="12.6640625" style="22" customWidth="1"/>
    <col min="2561" max="2561" width="15.6640625" style="22" customWidth="1"/>
    <col min="2562" max="2562" width="50.6640625" style="22" customWidth="1"/>
    <col min="2563" max="2563" width="9.6640625" style="22" customWidth="1"/>
    <col min="2564" max="2565" width="11.6640625" style="22" customWidth="1"/>
    <col min="2566" max="2566" width="16.6640625" style="22" customWidth="1"/>
    <col min="2567" max="2815" width="8.88671875" style="22"/>
    <col min="2816" max="2816" width="12.6640625" style="22" customWidth="1"/>
    <col min="2817" max="2817" width="15.6640625" style="22" customWidth="1"/>
    <col min="2818" max="2818" width="50.6640625" style="22" customWidth="1"/>
    <col min="2819" max="2819" width="9.6640625" style="22" customWidth="1"/>
    <col min="2820" max="2821" width="11.6640625" style="22" customWidth="1"/>
    <col min="2822" max="2822" width="16.6640625" style="22" customWidth="1"/>
    <col min="2823" max="3071" width="8.88671875" style="22"/>
    <col min="3072" max="3072" width="12.6640625" style="22" customWidth="1"/>
    <col min="3073" max="3073" width="15.6640625" style="22" customWidth="1"/>
    <col min="3074" max="3074" width="50.6640625" style="22" customWidth="1"/>
    <col min="3075" max="3075" width="9.6640625" style="22" customWidth="1"/>
    <col min="3076" max="3077" width="11.6640625" style="22" customWidth="1"/>
    <col min="3078" max="3078" width="16.6640625" style="22" customWidth="1"/>
    <col min="3079" max="3327" width="8.88671875" style="22"/>
    <col min="3328" max="3328" width="12.6640625" style="22" customWidth="1"/>
    <col min="3329" max="3329" width="15.6640625" style="22" customWidth="1"/>
    <col min="3330" max="3330" width="50.6640625" style="22" customWidth="1"/>
    <col min="3331" max="3331" width="9.6640625" style="22" customWidth="1"/>
    <col min="3332" max="3333" width="11.6640625" style="22" customWidth="1"/>
    <col min="3334" max="3334" width="16.6640625" style="22" customWidth="1"/>
    <col min="3335" max="3583" width="8.88671875" style="22"/>
    <col min="3584" max="3584" width="12.6640625" style="22" customWidth="1"/>
    <col min="3585" max="3585" width="15.6640625" style="22" customWidth="1"/>
    <col min="3586" max="3586" width="50.6640625" style="22" customWidth="1"/>
    <col min="3587" max="3587" width="9.6640625" style="22" customWidth="1"/>
    <col min="3588" max="3589" width="11.6640625" style="22" customWidth="1"/>
    <col min="3590" max="3590" width="16.6640625" style="22" customWidth="1"/>
    <col min="3591" max="3839" width="8.88671875" style="22"/>
    <col min="3840" max="3840" width="12.6640625" style="22" customWidth="1"/>
    <col min="3841" max="3841" width="15.6640625" style="22" customWidth="1"/>
    <col min="3842" max="3842" width="50.6640625" style="22" customWidth="1"/>
    <col min="3843" max="3843" width="9.6640625" style="22" customWidth="1"/>
    <col min="3844" max="3845" width="11.6640625" style="22" customWidth="1"/>
    <col min="3846" max="3846" width="16.6640625" style="22" customWidth="1"/>
    <col min="3847" max="4095" width="8.88671875" style="22"/>
    <col min="4096" max="4096" width="12.6640625" style="22" customWidth="1"/>
    <col min="4097" max="4097" width="15.6640625" style="22" customWidth="1"/>
    <col min="4098" max="4098" width="50.6640625" style="22" customWidth="1"/>
    <col min="4099" max="4099" width="9.6640625" style="22" customWidth="1"/>
    <col min="4100" max="4101" width="11.6640625" style="22" customWidth="1"/>
    <col min="4102" max="4102" width="16.6640625" style="22" customWidth="1"/>
    <col min="4103" max="4351" width="8.88671875" style="22"/>
    <col min="4352" max="4352" width="12.6640625" style="22" customWidth="1"/>
    <col min="4353" max="4353" width="15.6640625" style="22" customWidth="1"/>
    <col min="4354" max="4354" width="50.6640625" style="22" customWidth="1"/>
    <col min="4355" max="4355" width="9.6640625" style="22" customWidth="1"/>
    <col min="4356" max="4357" width="11.6640625" style="22" customWidth="1"/>
    <col min="4358" max="4358" width="16.6640625" style="22" customWidth="1"/>
    <col min="4359" max="4607" width="8.88671875" style="22"/>
    <col min="4608" max="4608" width="12.6640625" style="22" customWidth="1"/>
    <col min="4609" max="4609" width="15.6640625" style="22" customWidth="1"/>
    <col min="4610" max="4610" width="50.6640625" style="22" customWidth="1"/>
    <col min="4611" max="4611" width="9.6640625" style="22" customWidth="1"/>
    <col min="4612" max="4613" width="11.6640625" style="22" customWidth="1"/>
    <col min="4614" max="4614" width="16.6640625" style="22" customWidth="1"/>
    <col min="4615" max="4863" width="8.88671875" style="22"/>
    <col min="4864" max="4864" width="12.6640625" style="22" customWidth="1"/>
    <col min="4865" max="4865" width="15.6640625" style="22" customWidth="1"/>
    <col min="4866" max="4866" width="50.6640625" style="22" customWidth="1"/>
    <col min="4867" max="4867" width="9.6640625" style="22" customWidth="1"/>
    <col min="4868" max="4869" width="11.6640625" style="22" customWidth="1"/>
    <col min="4870" max="4870" width="16.6640625" style="22" customWidth="1"/>
    <col min="4871" max="5119" width="8.88671875" style="22"/>
    <col min="5120" max="5120" width="12.6640625" style="22" customWidth="1"/>
    <col min="5121" max="5121" width="15.6640625" style="22" customWidth="1"/>
    <col min="5122" max="5122" width="50.6640625" style="22" customWidth="1"/>
    <col min="5123" max="5123" width="9.6640625" style="22" customWidth="1"/>
    <col min="5124" max="5125" width="11.6640625" style="22" customWidth="1"/>
    <col min="5126" max="5126" width="16.6640625" style="22" customWidth="1"/>
    <col min="5127" max="5375" width="8.88671875" style="22"/>
    <col min="5376" max="5376" width="12.6640625" style="22" customWidth="1"/>
    <col min="5377" max="5377" width="15.6640625" style="22" customWidth="1"/>
    <col min="5378" max="5378" width="50.6640625" style="22" customWidth="1"/>
    <col min="5379" max="5379" width="9.6640625" style="22" customWidth="1"/>
    <col min="5380" max="5381" width="11.6640625" style="22" customWidth="1"/>
    <col min="5382" max="5382" width="16.6640625" style="22" customWidth="1"/>
    <col min="5383" max="5631" width="8.88671875" style="22"/>
    <col min="5632" max="5632" width="12.6640625" style="22" customWidth="1"/>
    <col min="5633" max="5633" width="15.6640625" style="22" customWidth="1"/>
    <col min="5634" max="5634" width="50.6640625" style="22" customWidth="1"/>
    <col min="5635" max="5635" width="9.6640625" style="22" customWidth="1"/>
    <col min="5636" max="5637" width="11.6640625" style="22" customWidth="1"/>
    <col min="5638" max="5638" width="16.6640625" style="22" customWidth="1"/>
    <col min="5639" max="5887" width="8.88671875" style="22"/>
    <col min="5888" max="5888" width="12.6640625" style="22" customWidth="1"/>
    <col min="5889" max="5889" width="15.6640625" style="22" customWidth="1"/>
    <col min="5890" max="5890" width="50.6640625" style="22" customWidth="1"/>
    <col min="5891" max="5891" width="9.6640625" style="22" customWidth="1"/>
    <col min="5892" max="5893" width="11.6640625" style="22" customWidth="1"/>
    <col min="5894" max="5894" width="16.6640625" style="22" customWidth="1"/>
    <col min="5895" max="6143" width="8.88671875" style="22"/>
    <col min="6144" max="6144" width="12.6640625" style="22" customWidth="1"/>
    <col min="6145" max="6145" width="15.6640625" style="22" customWidth="1"/>
    <col min="6146" max="6146" width="50.6640625" style="22" customWidth="1"/>
    <col min="6147" max="6147" width="9.6640625" style="22" customWidth="1"/>
    <col min="6148" max="6149" width="11.6640625" style="22" customWidth="1"/>
    <col min="6150" max="6150" width="16.6640625" style="22" customWidth="1"/>
    <col min="6151" max="6399" width="8.88671875" style="22"/>
    <col min="6400" max="6400" width="12.6640625" style="22" customWidth="1"/>
    <col min="6401" max="6401" width="15.6640625" style="22" customWidth="1"/>
    <col min="6402" max="6402" width="50.6640625" style="22" customWidth="1"/>
    <col min="6403" max="6403" width="9.6640625" style="22" customWidth="1"/>
    <col min="6404" max="6405" width="11.6640625" style="22" customWidth="1"/>
    <col min="6406" max="6406" width="16.6640625" style="22" customWidth="1"/>
    <col min="6407" max="6655" width="8.88671875" style="22"/>
    <col min="6656" max="6656" width="12.6640625" style="22" customWidth="1"/>
    <col min="6657" max="6657" width="15.6640625" style="22" customWidth="1"/>
    <col min="6658" max="6658" width="50.6640625" style="22" customWidth="1"/>
    <col min="6659" max="6659" width="9.6640625" style="22" customWidth="1"/>
    <col min="6660" max="6661" width="11.6640625" style="22" customWidth="1"/>
    <col min="6662" max="6662" width="16.6640625" style="22" customWidth="1"/>
    <col min="6663" max="6911" width="8.88671875" style="22"/>
    <col min="6912" max="6912" width="12.6640625" style="22" customWidth="1"/>
    <col min="6913" max="6913" width="15.6640625" style="22" customWidth="1"/>
    <col min="6914" max="6914" width="50.6640625" style="22" customWidth="1"/>
    <col min="6915" max="6915" width="9.6640625" style="22" customWidth="1"/>
    <col min="6916" max="6917" width="11.6640625" style="22" customWidth="1"/>
    <col min="6918" max="6918" width="16.6640625" style="22" customWidth="1"/>
    <col min="6919" max="7167" width="8.88671875" style="22"/>
    <col min="7168" max="7168" width="12.6640625" style="22" customWidth="1"/>
    <col min="7169" max="7169" width="15.6640625" style="22" customWidth="1"/>
    <col min="7170" max="7170" width="50.6640625" style="22" customWidth="1"/>
    <col min="7171" max="7171" width="9.6640625" style="22" customWidth="1"/>
    <col min="7172" max="7173" width="11.6640625" style="22" customWidth="1"/>
    <col min="7174" max="7174" width="16.6640625" style="22" customWidth="1"/>
    <col min="7175" max="7423" width="8.88671875" style="22"/>
    <col min="7424" max="7424" width="12.6640625" style="22" customWidth="1"/>
    <col min="7425" max="7425" width="15.6640625" style="22" customWidth="1"/>
    <col min="7426" max="7426" width="50.6640625" style="22" customWidth="1"/>
    <col min="7427" max="7427" width="9.6640625" style="22" customWidth="1"/>
    <col min="7428" max="7429" width="11.6640625" style="22" customWidth="1"/>
    <col min="7430" max="7430" width="16.6640625" style="22" customWidth="1"/>
    <col min="7431" max="7679" width="8.88671875" style="22"/>
    <col min="7680" max="7680" width="12.6640625" style="22" customWidth="1"/>
    <col min="7681" max="7681" width="15.6640625" style="22" customWidth="1"/>
    <col min="7682" max="7682" width="50.6640625" style="22" customWidth="1"/>
    <col min="7683" max="7683" width="9.6640625" style="22" customWidth="1"/>
    <col min="7684" max="7685" width="11.6640625" style="22" customWidth="1"/>
    <col min="7686" max="7686" width="16.6640625" style="22" customWidth="1"/>
    <col min="7687" max="7935" width="8.88671875" style="22"/>
    <col min="7936" max="7936" width="12.6640625" style="22" customWidth="1"/>
    <col min="7937" max="7937" width="15.6640625" style="22" customWidth="1"/>
    <col min="7938" max="7938" width="50.6640625" style="22" customWidth="1"/>
    <col min="7939" max="7939" width="9.6640625" style="22" customWidth="1"/>
    <col min="7940" max="7941" width="11.6640625" style="22" customWidth="1"/>
    <col min="7942" max="7942" width="16.6640625" style="22" customWidth="1"/>
    <col min="7943" max="8191" width="8.88671875" style="22"/>
    <col min="8192" max="8192" width="12.6640625" style="22" customWidth="1"/>
    <col min="8193" max="8193" width="15.6640625" style="22" customWidth="1"/>
    <col min="8194" max="8194" width="50.6640625" style="22" customWidth="1"/>
    <col min="8195" max="8195" width="9.6640625" style="22" customWidth="1"/>
    <col min="8196" max="8197" width="11.6640625" style="22" customWidth="1"/>
    <col min="8198" max="8198" width="16.6640625" style="22" customWidth="1"/>
    <col min="8199" max="8447" width="8.88671875" style="22"/>
    <col min="8448" max="8448" width="12.6640625" style="22" customWidth="1"/>
    <col min="8449" max="8449" width="15.6640625" style="22" customWidth="1"/>
    <col min="8450" max="8450" width="50.6640625" style="22" customWidth="1"/>
    <col min="8451" max="8451" width="9.6640625" style="22" customWidth="1"/>
    <col min="8452" max="8453" width="11.6640625" style="22" customWidth="1"/>
    <col min="8454" max="8454" width="16.6640625" style="22" customWidth="1"/>
    <col min="8455" max="8703" width="8.88671875" style="22"/>
    <col min="8704" max="8704" width="12.6640625" style="22" customWidth="1"/>
    <col min="8705" max="8705" width="15.6640625" style="22" customWidth="1"/>
    <col min="8706" max="8706" width="50.6640625" style="22" customWidth="1"/>
    <col min="8707" max="8707" width="9.6640625" style="22" customWidth="1"/>
    <col min="8708" max="8709" width="11.6640625" style="22" customWidth="1"/>
    <col min="8710" max="8710" width="16.6640625" style="22" customWidth="1"/>
    <col min="8711" max="8959" width="8.88671875" style="22"/>
    <col min="8960" max="8960" width="12.6640625" style="22" customWidth="1"/>
    <col min="8961" max="8961" width="15.6640625" style="22" customWidth="1"/>
    <col min="8962" max="8962" width="50.6640625" style="22" customWidth="1"/>
    <col min="8963" max="8963" width="9.6640625" style="22" customWidth="1"/>
    <col min="8964" max="8965" width="11.6640625" style="22" customWidth="1"/>
    <col min="8966" max="8966" width="16.6640625" style="22" customWidth="1"/>
    <col min="8967" max="9215" width="8.88671875" style="22"/>
    <col min="9216" max="9216" width="12.6640625" style="22" customWidth="1"/>
    <col min="9217" max="9217" width="15.6640625" style="22" customWidth="1"/>
    <col min="9218" max="9218" width="50.6640625" style="22" customWidth="1"/>
    <col min="9219" max="9219" width="9.6640625" style="22" customWidth="1"/>
    <col min="9220" max="9221" width="11.6640625" style="22" customWidth="1"/>
    <col min="9222" max="9222" width="16.6640625" style="22" customWidth="1"/>
    <col min="9223" max="9471" width="8.88671875" style="22"/>
    <col min="9472" max="9472" width="12.6640625" style="22" customWidth="1"/>
    <col min="9473" max="9473" width="15.6640625" style="22" customWidth="1"/>
    <col min="9474" max="9474" width="50.6640625" style="22" customWidth="1"/>
    <col min="9475" max="9475" width="9.6640625" style="22" customWidth="1"/>
    <col min="9476" max="9477" width="11.6640625" style="22" customWidth="1"/>
    <col min="9478" max="9478" width="16.6640625" style="22" customWidth="1"/>
    <col min="9479" max="9727" width="8.88671875" style="22"/>
    <col min="9728" max="9728" width="12.6640625" style="22" customWidth="1"/>
    <col min="9729" max="9729" width="15.6640625" style="22" customWidth="1"/>
    <col min="9730" max="9730" width="50.6640625" style="22" customWidth="1"/>
    <col min="9731" max="9731" width="9.6640625" style="22" customWidth="1"/>
    <col min="9732" max="9733" width="11.6640625" style="22" customWidth="1"/>
    <col min="9734" max="9734" width="16.6640625" style="22" customWidth="1"/>
    <col min="9735" max="9983" width="8.88671875" style="22"/>
    <col min="9984" max="9984" width="12.6640625" style="22" customWidth="1"/>
    <col min="9985" max="9985" width="15.6640625" style="22" customWidth="1"/>
    <col min="9986" max="9986" width="50.6640625" style="22" customWidth="1"/>
    <col min="9987" max="9987" width="9.6640625" style="22" customWidth="1"/>
    <col min="9988" max="9989" width="11.6640625" style="22" customWidth="1"/>
    <col min="9990" max="9990" width="16.6640625" style="22" customWidth="1"/>
    <col min="9991" max="10239" width="8.88671875" style="22"/>
    <col min="10240" max="10240" width="12.6640625" style="22" customWidth="1"/>
    <col min="10241" max="10241" width="15.6640625" style="22" customWidth="1"/>
    <col min="10242" max="10242" width="50.6640625" style="22" customWidth="1"/>
    <col min="10243" max="10243" width="9.6640625" style="22" customWidth="1"/>
    <col min="10244" max="10245" width="11.6640625" style="22" customWidth="1"/>
    <col min="10246" max="10246" width="16.6640625" style="22" customWidth="1"/>
    <col min="10247" max="10495" width="8.88671875" style="22"/>
    <col min="10496" max="10496" width="12.6640625" style="22" customWidth="1"/>
    <col min="10497" max="10497" width="15.6640625" style="22" customWidth="1"/>
    <col min="10498" max="10498" width="50.6640625" style="22" customWidth="1"/>
    <col min="10499" max="10499" width="9.6640625" style="22" customWidth="1"/>
    <col min="10500" max="10501" width="11.6640625" style="22" customWidth="1"/>
    <col min="10502" max="10502" width="16.6640625" style="22" customWidth="1"/>
    <col min="10503" max="10751" width="8.88671875" style="22"/>
    <col min="10752" max="10752" width="12.6640625" style="22" customWidth="1"/>
    <col min="10753" max="10753" width="15.6640625" style="22" customWidth="1"/>
    <col min="10754" max="10754" width="50.6640625" style="22" customWidth="1"/>
    <col min="10755" max="10755" width="9.6640625" style="22" customWidth="1"/>
    <col min="10756" max="10757" width="11.6640625" style="22" customWidth="1"/>
    <col min="10758" max="10758" width="16.6640625" style="22" customWidth="1"/>
    <col min="10759" max="11007" width="8.88671875" style="22"/>
    <col min="11008" max="11008" width="12.6640625" style="22" customWidth="1"/>
    <col min="11009" max="11009" width="15.6640625" style="22" customWidth="1"/>
    <col min="11010" max="11010" width="50.6640625" style="22" customWidth="1"/>
    <col min="11011" max="11011" width="9.6640625" style="22" customWidth="1"/>
    <col min="11012" max="11013" width="11.6640625" style="22" customWidth="1"/>
    <col min="11014" max="11014" width="16.6640625" style="22" customWidth="1"/>
    <col min="11015" max="11263" width="8.88671875" style="22"/>
    <col min="11264" max="11264" width="12.6640625" style="22" customWidth="1"/>
    <col min="11265" max="11265" width="15.6640625" style="22" customWidth="1"/>
    <col min="11266" max="11266" width="50.6640625" style="22" customWidth="1"/>
    <col min="11267" max="11267" width="9.6640625" style="22" customWidth="1"/>
    <col min="11268" max="11269" width="11.6640625" style="22" customWidth="1"/>
    <col min="11270" max="11270" width="16.6640625" style="22" customWidth="1"/>
    <col min="11271" max="11519" width="8.88671875" style="22"/>
    <col min="11520" max="11520" width="12.6640625" style="22" customWidth="1"/>
    <col min="11521" max="11521" width="15.6640625" style="22" customWidth="1"/>
    <col min="11522" max="11522" width="50.6640625" style="22" customWidth="1"/>
    <col min="11523" max="11523" width="9.6640625" style="22" customWidth="1"/>
    <col min="11524" max="11525" width="11.6640625" style="22" customWidth="1"/>
    <col min="11526" max="11526" width="16.6640625" style="22" customWidth="1"/>
    <col min="11527" max="11775" width="8.88671875" style="22"/>
    <col min="11776" max="11776" width="12.6640625" style="22" customWidth="1"/>
    <col min="11777" max="11777" width="15.6640625" style="22" customWidth="1"/>
    <col min="11778" max="11778" width="50.6640625" style="22" customWidth="1"/>
    <col min="11779" max="11779" width="9.6640625" style="22" customWidth="1"/>
    <col min="11780" max="11781" width="11.6640625" style="22" customWidth="1"/>
    <col min="11782" max="11782" width="16.6640625" style="22" customWidth="1"/>
    <col min="11783" max="12031" width="8.88671875" style="22"/>
    <col min="12032" max="12032" width="12.6640625" style="22" customWidth="1"/>
    <col min="12033" max="12033" width="15.6640625" style="22" customWidth="1"/>
    <col min="12034" max="12034" width="50.6640625" style="22" customWidth="1"/>
    <col min="12035" max="12035" width="9.6640625" style="22" customWidth="1"/>
    <col min="12036" max="12037" width="11.6640625" style="22" customWidth="1"/>
    <col min="12038" max="12038" width="16.6640625" style="22" customWidth="1"/>
    <col min="12039" max="12287" width="8.88671875" style="22"/>
    <col min="12288" max="12288" width="12.6640625" style="22" customWidth="1"/>
    <col min="12289" max="12289" width="15.6640625" style="22" customWidth="1"/>
    <col min="12290" max="12290" width="50.6640625" style="22" customWidth="1"/>
    <col min="12291" max="12291" width="9.6640625" style="22" customWidth="1"/>
    <col min="12292" max="12293" width="11.6640625" style="22" customWidth="1"/>
    <col min="12294" max="12294" width="16.6640625" style="22" customWidth="1"/>
    <col min="12295" max="12543" width="8.88671875" style="22"/>
    <col min="12544" max="12544" width="12.6640625" style="22" customWidth="1"/>
    <col min="12545" max="12545" width="15.6640625" style="22" customWidth="1"/>
    <col min="12546" max="12546" width="50.6640625" style="22" customWidth="1"/>
    <col min="12547" max="12547" width="9.6640625" style="22" customWidth="1"/>
    <col min="12548" max="12549" width="11.6640625" style="22" customWidth="1"/>
    <col min="12550" max="12550" width="16.6640625" style="22" customWidth="1"/>
    <col min="12551" max="12799" width="8.88671875" style="22"/>
    <col min="12800" max="12800" width="12.6640625" style="22" customWidth="1"/>
    <col min="12801" max="12801" width="15.6640625" style="22" customWidth="1"/>
    <col min="12802" max="12802" width="50.6640625" style="22" customWidth="1"/>
    <col min="12803" max="12803" width="9.6640625" style="22" customWidth="1"/>
    <col min="12804" max="12805" width="11.6640625" style="22" customWidth="1"/>
    <col min="12806" max="12806" width="16.6640625" style="22" customWidth="1"/>
    <col min="12807" max="13055" width="8.88671875" style="22"/>
    <col min="13056" max="13056" width="12.6640625" style="22" customWidth="1"/>
    <col min="13057" max="13057" width="15.6640625" style="22" customWidth="1"/>
    <col min="13058" max="13058" width="50.6640625" style="22" customWidth="1"/>
    <col min="13059" max="13059" width="9.6640625" style="22" customWidth="1"/>
    <col min="13060" max="13061" width="11.6640625" style="22" customWidth="1"/>
    <col min="13062" max="13062" width="16.6640625" style="22" customWidth="1"/>
    <col min="13063" max="13311" width="8.88671875" style="22"/>
    <col min="13312" max="13312" width="12.6640625" style="22" customWidth="1"/>
    <col min="13313" max="13313" width="15.6640625" style="22" customWidth="1"/>
    <col min="13314" max="13314" width="50.6640625" style="22" customWidth="1"/>
    <col min="13315" max="13315" width="9.6640625" style="22" customWidth="1"/>
    <col min="13316" max="13317" width="11.6640625" style="22" customWidth="1"/>
    <col min="13318" max="13318" width="16.6640625" style="22" customWidth="1"/>
    <col min="13319" max="13567" width="8.88671875" style="22"/>
    <col min="13568" max="13568" width="12.6640625" style="22" customWidth="1"/>
    <col min="13569" max="13569" width="15.6640625" style="22" customWidth="1"/>
    <col min="13570" max="13570" width="50.6640625" style="22" customWidth="1"/>
    <col min="13571" max="13571" width="9.6640625" style="22" customWidth="1"/>
    <col min="13572" max="13573" width="11.6640625" style="22" customWidth="1"/>
    <col min="13574" max="13574" width="16.6640625" style="22" customWidth="1"/>
    <col min="13575" max="13823" width="8.88671875" style="22"/>
    <col min="13824" max="13824" width="12.6640625" style="22" customWidth="1"/>
    <col min="13825" max="13825" width="15.6640625" style="22" customWidth="1"/>
    <col min="13826" max="13826" width="50.6640625" style="22" customWidth="1"/>
    <col min="13827" max="13827" width="9.6640625" style="22" customWidth="1"/>
    <col min="13828" max="13829" width="11.6640625" style="22" customWidth="1"/>
    <col min="13830" max="13830" width="16.6640625" style="22" customWidth="1"/>
    <col min="13831" max="14079" width="8.88671875" style="22"/>
    <col min="14080" max="14080" width="12.6640625" style="22" customWidth="1"/>
    <col min="14081" max="14081" width="15.6640625" style="22" customWidth="1"/>
    <col min="14082" max="14082" width="50.6640625" style="22" customWidth="1"/>
    <col min="14083" max="14083" width="9.6640625" style="22" customWidth="1"/>
    <col min="14084" max="14085" width="11.6640625" style="22" customWidth="1"/>
    <col min="14086" max="14086" width="16.6640625" style="22" customWidth="1"/>
    <col min="14087" max="14335" width="8.88671875" style="22"/>
    <col min="14336" max="14336" width="12.6640625" style="22" customWidth="1"/>
    <col min="14337" max="14337" width="15.6640625" style="22" customWidth="1"/>
    <col min="14338" max="14338" width="50.6640625" style="22" customWidth="1"/>
    <col min="14339" max="14339" width="9.6640625" style="22" customWidth="1"/>
    <col min="14340" max="14341" width="11.6640625" style="22" customWidth="1"/>
    <col min="14342" max="14342" width="16.6640625" style="22" customWidth="1"/>
    <col min="14343" max="14591" width="8.88671875" style="22"/>
    <col min="14592" max="14592" width="12.6640625" style="22" customWidth="1"/>
    <col min="14593" max="14593" width="15.6640625" style="22" customWidth="1"/>
    <col min="14594" max="14594" width="50.6640625" style="22" customWidth="1"/>
    <col min="14595" max="14595" width="9.6640625" style="22" customWidth="1"/>
    <col min="14596" max="14597" width="11.6640625" style="22" customWidth="1"/>
    <col min="14598" max="14598" width="16.6640625" style="22" customWidth="1"/>
    <col min="14599" max="14847" width="8.88671875" style="22"/>
    <col min="14848" max="14848" width="12.6640625" style="22" customWidth="1"/>
    <col min="14849" max="14849" width="15.6640625" style="22" customWidth="1"/>
    <col min="14850" max="14850" width="50.6640625" style="22" customWidth="1"/>
    <col min="14851" max="14851" width="9.6640625" style="22" customWidth="1"/>
    <col min="14852" max="14853" width="11.6640625" style="22" customWidth="1"/>
    <col min="14854" max="14854" width="16.6640625" style="22" customWidth="1"/>
    <col min="14855" max="15103" width="8.88671875" style="22"/>
    <col min="15104" max="15104" width="12.6640625" style="22" customWidth="1"/>
    <col min="15105" max="15105" width="15.6640625" style="22" customWidth="1"/>
    <col min="15106" max="15106" width="50.6640625" style="22" customWidth="1"/>
    <col min="15107" max="15107" width="9.6640625" style="22" customWidth="1"/>
    <col min="15108" max="15109" width="11.6640625" style="22" customWidth="1"/>
    <col min="15110" max="15110" width="16.6640625" style="22" customWidth="1"/>
    <col min="15111" max="15359" width="8.88671875" style="22"/>
    <col min="15360" max="15360" width="12.6640625" style="22" customWidth="1"/>
    <col min="15361" max="15361" width="15.6640625" style="22" customWidth="1"/>
    <col min="15362" max="15362" width="50.6640625" style="22" customWidth="1"/>
    <col min="15363" max="15363" width="9.6640625" style="22" customWidth="1"/>
    <col min="15364" max="15365" width="11.6640625" style="22" customWidth="1"/>
    <col min="15366" max="15366" width="16.6640625" style="22" customWidth="1"/>
    <col min="15367" max="15615" width="8.88671875" style="22"/>
    <col min="15616" max="15616" width="12.6640625" style="22" customWidth="1"/>
    <col min="15617" max="15617" width="15.6640625" style="22" customWidth="1"/>
    <col min="15618" max="15618" width="50.6640625" style="22" customWidth="1"/>
    <col min="15619" max="15619" width="9.6640625" style="22" customWidth="1"/>
    <col min="15620" max="15621" width="11.6640625" style="22" customWidth="1"/>
    <col min="15622" max="15622" width="16.6640625" style="22" customWidth="1"/>
    <col min="15623" max="15871" width="8.88671875" style="22"/>
    <col min="15872" max="15872" width="12.6640625" style="22" customWidth="1"/>
    <col min="15873" max="15873" width="15.6640625" style="22" customWidth="1"/>
    <col min="15874" max="15874" width="50.6640625" style="22" customWidth="1"/>
    <col min="15875" max="15875" width="9.6640625" style="22" customWidth="1"/>
    <col min="15876" max="15877" width="11.6640625" style="22" customWidth="1"/>
    <col min="15878" max="15878" width="16.6640625" style="22" customWidth="1"/>
    <col min="15879" max="16127" width="8.88671875" style="22"/>
    <col min="16128" max="16128" width="12.6640625" style="22" customWidth="1"/>
    <col min="16129" max="16129" width="15.6640625" style="22" customWidth="1"/>
    <col min="16130" max="16130" width="50.6640625" style="22" customWidth="1"/>
    <col min="16131" max="16131" width="9.6640625" style="22" customWidth="1"/>
    <col min="16132" max="16133" width="11.6640625" style="22" customWidth="1"/>
    <col min="16134" max="16134" width="16.6640625" style="22" customWidth="1"/>
    <col min="16135" max="16384" width="8.88671875" style="22"/>
  </cols>
  <sheetData>
    <row r="1" spans="1:9">
      <c r="A1" s="909" t="str">
        <f>'1-P&amp;G''s '!A1</f>
        <v>GREATER LETABA MUNICIPALITY</v>
      </c>
      <c r="B1" s="21"/>
      <c r="E1" s="22"/>
    </row>
    <row r="2" spans="1:9">
      <c r="A2" s="2148" t="str">
        <f>'1-P&amp;G''s '!A2</f>
        <v>CONTRACT NUMBER: GLM015/2025</v>
      </c>
      <c r="B2" s="2148"/>
      <c r="C2" s="2148"/>
      <c r="D2" s="2148"/>
      <c r="E2" s="2148"/>
    </row>
    <row r="3" spans="1:9">
      <c r="A3" s="909" t="str">
        <f>'1-P&amp;G''s '!A3</f>
        <v>CONSTRUCTION OF MAPHALLE LANDFILL SITE PH2</v>
      </c>
      <c r="B3" s="23"/>
      <c r="E3" s="22"/>
    </row>
    <row r="4" spans="1:9">
      <c r="A4" s="909"/>
      <c r="B4" s="23"/>
      <c r="E4" s="22"/>
    </row>
    <row r="5" spans="1:9">
      <c r="A5" s="909" t="s">
        <v>155</v>
      </c>
      <c r="B5" s="21" t="str">
        <f>C10</f>
        <v>STORMWATER DRAINAGE</v>
      </c>
      <c r="E5" s="22"/>
    </row>
    <row r="6" spans="1:9" ht="14.4" thickBot="1"/>
    <row r="7" spans="1:9">
      <c r="A7" s="2142" t="s">
        <v>111</v>
      </c>
      <c r="B7" s="2142" t="s">
        <v>112</v>
      </c>
      <c r="C7" s="2139" t="s">
        <v>2</v>
      </c>
      <c r="D7" s="910" t="s">
        <v>882</v>
      </c>
      <c r="E7" s="930" t="s">
        <v>3</v>
      </c>
      <c r="F7" s="930" t="s">
        <v>564</v>
      </c>
      <c r="G7" s="930" t="s">
        <v>5</v>
      </c>
      <c r="H7" s="930" t="s">
        <v>565</v>
      </c>
    </row>
    <row r="8" spans="1:9" ht="14.4" thickBot="1">
      <c r="A8" s="2143"/>
      <c r="B8" s="2143"/>
      <c r="C8" s="2140"/>
      <c r="D8" s="911" t="s">
        <v>883</v>
      </c>
      <c r="E8" s="931"/>
      <c r="F8" s="932"/>
      <c r="G8" s="932"/>
      <c r="H8" s="932" t="s">
        <v>6</v>
      </c>
      <c r="I8" s="886"/>
    </row>
    <row r="9" spans="1:9">
      <c r="A9" s="129"/>
      <c r="B9" s="129"/>
      <c r="C9" s="129"/>
      <c r="D9" s="129"/>
      <c r="E9" s="924"/>
      <c r="F9" s="179"/>
      <c r="G9" s="179"/>
      <c r="H9" s="183"/>
    </row>
    <row r="10" spans="1:9" s="2" customFormat="1">
      <c r="A10" s="4"/>
      <c r="B10" s="4"/>
      <c r="C10" s="32" t="str">
        <f>UPPER("Stormwater Drainage")</f>
        <v>STORMWATER DRAINAGE</v>
      </c>
      <c r="D10" s="32"/>
      <c r="E10" s="7"/>
      <c r="F10" s="33"/>
      <c r="G10" s="33"/>
      <c r="H10" s="5"/>
    </row>
    <row r="11" spans="1:9" s="2" customFormat="1" ht="12" customHeight="1">
      <c r="A11" s="4"/>
      <c r="B11" s="4"/>
      <c r="C11" s="32"/>
      <c r="D11" s="32"/>
      <c r="E11" s="7"/>
      <c r="F11" s="33"/>
      <c r="G11" s="33"/>
      <c r="H11" s="5"/>
    </row>
    <row r="12" spans="1:9">
      <c r="A12" s="51" t="s">
        <v>939</v>
      </c>
      <c r="B12" s="51" t="s">
        <v>114</v>
      </c>
      <c r="C12" s="27" t="s">
        <v>115</v>
      </c>
      <c r="D12" s="26"/>
      <c r="E12" s="25"/>
      <c r="F12" s="29"/>
      <c r="G12" s="29"/>
      <c r="H12" s="26"/>
    </row>
    <row r="13" spans="1:9">
      <c r="A13" s="25"/>
      <c r="B13" s="51"/>
      <c r="C13" s="27"/>
      <c r="D13" s="27"/>
      <c r="E13" s="25"/>
      <c r="F13" s="29"/>
      <c r="G13" s="29"/>
      <c r="H13" s="26"/>
    </row>
    <row r="14" spans="1:9" ht="27.6">
      <c r="A14" s="25" t="s">
        <v>940</v>
      </c>
      <c r="B14" s="25" t="s">
        <v>116</v>
      </c>
      <c r="C14" s="28" t="s">
        <v>117</v>
      </c>
      <c r="D14" s="28"/>
      <c r="E14" s="25" t="s">
        <v>118</v>
      </c>
      <c r="F14" s="25">
        <v>18500</v>
      </c>
      <c r="G14" s="29"/>
      <c r="H14" s="29"/>
    </row>
    <row r="15" spans="1:9">
      <c r="A15" s="25"/>
      <c r="B15" s="25"/>
      <c r="C15" s="28"/>
      <c r="D15" s="28"/>
      <c r="E15" s="25"/>
      <c r="F15" s="25"/>
      <c r="G15" s="29"/>
      <c r="H15" s="29"/>
    </row>
    <row r="16" spans="1:9">
      <c r="A16" s="51" t="s">
        <v>941</v>
      </c>
      <c r="B16" s="51" t="s">
        <v>122</v>
      </c>
      <c r="C16" s="27" t="s">
        <v>123</v>
      </c>
      <c r="D16" s="26"/>
      <c r="E16" s="25"/>
      <c r="F16" s="25"/>
      <c r="G16" s="25"/>
      <c r="H16" s="29"/>
    </row>
    <row r="17" spans="1:8">
      <c r="A17" s="25"/>
      <c r="B17" s="25"/>
      <c r="C17" s="26"/>
      <c r="D17" s="26"/>
      <c r="E17" s="25"/>
      <c r="F17" s="25"/>
      <c r="G17" s="25"/>
      <c r="H17" s="29"/>
    </row>
    <row r="18" spans="1:8" ht="27.6">
      <c r="A18" s="25" t="s">
        <v>942</v>
      </c>
      <c r="B18" s="25" t="s">
        <v>124</v>
      </c>
      <c r="C18" s="28" t="s">
        <v>125</v>
      </c>
      <c r="D18" s="28"/>
      <c r="E18" s="25" t="s">
        <v>118</v>
      </c>
      <c r="F18" s="25">
        <f>F14</f>
        <v>18500</v>
      </c>
      <c r="G18" s="29"/>
      <c r="H18" s="29"/>
    </row>
    <row r="19" spans="1:8">
      <c r="A19" s="25"/>
      <c r="B19" s="25"/>
      <c r="C19" s="26"/>
      <c r="D19" s="26"/>
      <c r="E19" s="25"/>
      <c r="F19" s="25"/>
      <c r="G19" s="29"/>
      <c r="H19" s="29"/>
    </row>
    <row r="20" spans="1:8" ht="27.6">
      <c r="A20" s="25" t="s">
        <v>943</v>
      </c>
      <c r="B20" s="24" t="s">
        <v>143</v>
      </c>
      <c r="C20" s="28" t="s">
        <v>195</v>
      </c>
      <c r="D20" s="28"/>
      <c r="E20" s="25" t="s">
        <v>113</v>
      </c>
      <c r="F20" s="25">
        <v>700</v>
      </c>
      <c r="G20" s="29"/>
      <c r="H20" s="29"/>
    </row>
    <row r="21" spans="1:8">
      <c r="A21" s="25"/>
      <c r="B21" s="25"/>
      <c r="C21" s="28"/>
      <c r="D21" s="28"/>
      <c r="E21" s="25"/>
      <c r="F21" s="25"/>
      <c r="G21" s="29"/>
      <c r="H21" s="29"/>
    </row>
    <row r="22" spans="1:8">
      <c r="A22" s="51" t="s">
        <v>944</v>
      </c>
      <c r="B22" s="51"/>
      <c r="C22" s="54" t="s">
        <v>144</v>
      </c>
      <c r="D22" s="28"/>
      <c r="E22" s="25"/>
      <c r="F22" s="25"/>
      <c r="G22" s="25"/>
      <c r="H22" s="29"/>
    </row>
    <row r="23" spans="1:8">
      <c r="A23" s="25"/>
      <c r="B23" s="25"/>
      <c r="C23" s="28"/>
      <c r="D23" s="28"/>
      <c r="E23" s="25"/>
      <c r="F23" s="25"/>
      <c r="G23" s="25"/>
      <c r="H23" s="29"/>
    </row>
    <row r="24" spans="1:8" ht="41.4">
      <c r="A24" s="25" t="s">
        <v>945</v>
      </c>
      <c r="B24" s="24" t="s">
        <v>145</v>
      </c>
      <c r="C24" s="28" t="s">
        <v>991</v>
      </c>
      <c r="D24" s="24" t="s">
        <v>884</v>
      </c>
      <c r="E24" s="25" t="s">
        <v>118</v>
      </c>
      <c r="F24" s="25">
        <v>2800</v>
      </c>
      <c r="G24" s="29"/>
      <c r="H24" s="29"/>
    </row>
    <row r="25" spans="1:8">
      <c r="A25" s="25"/>
      <c r="B25" s="25"/>
      <c r="C25" s="28"/>
      <c r="D25" s="28"/>
      <c r="E25" s="25"/>
      <c r="F25" s="25"/>
      <c r="G25" s="25"/>
      <c r="H25" s="29"/>
    </row>
    <row r="26" spans="1:8" ht="41.4">
      <c r="A26" s="25"/>
      <c r="B26" s="953" t="s">
        <v>989</v>
      </c>
      <c r="C26" s="28" t="s">
        <v>1381</v>
      </c>
      <c r="D26" s="24" t="s">
        <v>884</v>
      </c>
      <c r="E26" s="25" t="s">
        <v>871</v>
      </c>
      <c r="F26" s="25">
        <v>1</v>
      </c>
      <c r="G26" s="1243"/>
      <c r="H26" s="29"/>
    </row>
    <row r="27" spans="1:8">
      <c r="A27" s="25"/>
      <c r="B27" s="25"/>
      <c r="C27" s="28"/>
      <c r="D27" s="28"/>
      <c r="E27" s="25"/>
      <c r="F27" s="25"/>
      <c r="G27" s="25"/>
      <c r="H27" s="29"/>
    </row>
    <row r="28" spans="1:8" ht="16.2">
      <c r="A28" s="25" t="s">
        <v>1383</v>
      </c>
      <c r="B28" s="25" t="s">
        <v>1382</v>
      </c>
      <c r="C28" s="28" t="s">
        <v>1380</v>
      </c>
      <c r="D28" s="24" t="s">
        <v>884</v>
      </c>
      <c r="E28" s="25" t="s">
        <v>113</v>
      </c>
      <c r="F28" s="25">
        <v>250</v>
      </c>
      <c r="G28" s="25"/>
      <c r="H28" s="29"/>
    </row>
    <row r="29" spans="1:8">
      <c r="A29" s="25"/>
      <c r="B29" s="25"/>
      <c r="C29" s="28"/>
      <c r="D29" s="28"/>
      <c r="E29" s="25"/>
      <c r="F29" s="25"/>
      <c r="G29" s="25"/>
      <c r="H29" s="29"/>
    </row>
    <row r="30" spans="1:8" s="2" customFormat="1">
      <c r="A30" s="4" t="s">
        <v>946</v>
      </c>
      <c r="B30" s="4"/>
      <c r="C30" s="32" t="s">
        <v>196</v>
      </c>
      <c r="D30" s="34"/>
      <c r="E30" s="7"/>
      <c r="F30" s="7"/>
      <c r="G30" s="7"/>
      <c r="H30" s="33"/>
    </row>
    <row r="31" spans="1:8" s="2" customFormat="1">
      <c r="A31" s="7"/>
      <c r="B31" s="7"/>
      <c r="C31" s="34"/>
      <c r="D31" s="34"/>
      <c r="E31" s="7"/>
      <c r="F31" s="7"/>
      <c r="G31" s="7"/>
      <c r="H31" s="33"/>
    </row>
    <row r="32" spans="1:8" s="2" customFormat="1" ht="41.4">
      <c r="A32" s="7" t="s">
        <v>947</v>
      </c>
      <c r="B32" s="7" t="s">
        <v>146</v>
      </c>
      <c r="C32" s="34" t="s">
        <v>147</v>
      </c>
      <c r="D32" s="24" t="s">
        <v>884</v>
      </c>
      <c r="E32" s="7" t="s">
        <v>148</v>
      </c>
      <c r="F32" s="7">
        <v>2</v>
      </c>
      <c r="G32" s="33"/>
      <c r="H32" s="29"/>
    </row>
    <row r="33" spans="1:8" s="2" customFormat="1">
      <c r="A33" s="7"/>
      <c r="B33" s="7"/>
      <c r="C33" s="5"/>
      <c r="D33" s="5"/>
      <c r="E33" s="7"/>
      <c r="F33" s="7"/>
      <c r="G33" s="7"/>
      <c r="H33" s="33"/>
    </row>
    <row r="34" spans="1:8" s="2" customFormat="1">
      <c r="A34" s="39" t="s">
        <v>948</v>
      </c>
      <c r="B34" s="7" t="s">
        <v>149</v>
      </c>
      <c r="C34" s="34" t="s">
        <v>150</v>
      </c>
      <c r="D34" s="24" t="s">
        <v>884</v>
      </c>
      <c r="E34" s="7" t="s">
        <v>136</v>
      </c>
      <c r="F34" s="7">
        <v>20</v>
      </c>
      <c r="G34" s="33"/>
      <c r="H34" s="29"/>
    </row>
    <row r="35" spans="1:8" s="2" customFormat="1">
      <c r="A35" s="7"/>
      <c r="B35" s="7"/>
      <c r="C35" s="34"/>
      <c r="D35" s="34"/>
      <c r="E35" s="7"/>
      <c r="F35" s="7"/>
      <c r="G35" s="7"/>
      <c r="H35" s="33"/>
    </row>
    <row r="36" spans="1:8">
      <c r="A36" s="25"/>
      <c r="B36" s="25"/>
      <c r="C36" s="28"/>
      <c r="D36" s="28"/>
      <c r="E36" s="25"/>
      <c r="F36" s="25"/>
      <c r="G36" s="25"/>
      <c r="H36" s="29"/>
    </row>
    <row r="37" spans="1:8">
      <c r="A37" s="25" t="s">
        <v>949</v>
      </c>
      <c r="B37" s="25" t="s">
        <v>151</v>
      </c>
      <c r="C37" s="26" t="s">
        <v>128</v>
      </c>
      <c r="D37" s="26"/>
      <c r="E37" s="25"/>
      <c r="F37" s="25"/>
      <c r="G37" s="25"/>
      <c r="H37" s="29"/>
    </row>
    <row r="38" spans="1:8">
      <c r="A38" s="25"/>
      <c r="B38" s="25"/>
      <c r="C38" s="26"/>
      <c r="D38" s="26"/>
      <c r="E38" s="25"/>
      <c r="F38" s="25"/>
      <c r="G38" s="25"/>
      <c r="H38" s="29"/>
    </row>
    <row r="39" spans="1:8">
      <c r="A39" s="25"/>
      <c r="B39" s="25" t="s">
        <v>127</v>
      </c>
      <c r="C39" s="26" t="s">
        <v>129</v>
      </c>
      <c r="D39" s="26"/>
      <c r="E39" s="25"/>
      <c r="F39" s="25"/>
      <c r="G39" s="25"/>
      <c r="H39" s="29"/>
    </row>
    <row r="40" spans="1:8">
      <c r="A40" s="25"/>
      <c r="B40" s="25"/>
      <c r="C40" s="26"/>
      <c r="D40" s="26"/>
      <c r="E40" s="25"/>
      <c r="F40" s="25"/>
      <c r="G40" s="25"/>
      <c r="H40" s="29"/>
    </row>
    <row r="41" spans="1:8" ht="16.2">
      <c r="A41" s="25" t="s">
        <v>950</v>
      </c>
      <c r="B41" s="25"/>
      <c r="C41" s="26" t="s">
        <v>130</v>
      </c>
      <c r="D41" s="26"/>
      <c r="E41" s="25" t="s">
        <v>113</v>
      </c>
      <c r="F41" s="25">
        <v>300</v>
      </c>
      <c r="G41" s="25"/>
      <c r="H41" s="29"/>
    </row>
    <row r="42" spans="1:8">
      <c r="A42" s="25"/>
      <c r="B42" s="25"/>
      <c r="C42" s="26"/>
      <c r="D42" s="26"/>
      <c r="E42" s="25"/>
      <c r="F42" s="25"/>
      <c r="G42" s="25"/>
      <c r="H42" s="29"/>
    </row>
    <row r="43" spans="1:8" ht="27.6">
      <c r="A43" s="25"/>
      <c r="B43" s="954" t="s">
        <v>989</v>
      </c>
      <c r="C43" s="955" t="s">
        <v>990</v>
      </c>
      <c r="D43" s="26"/>
      <c r="E43" s="25" t="s">
        <v>460</v>
      </c>
      <c r="F43" s="25">
        <v>1</v>
      </c>
      <c r="G43" s="1243"/>
      <c r="H43" s="29"/>
    </row>
    <row r="44" spans="1:8">
      <c r="A44" s="25"/>
      <c r="B44" s="25"/>
      <c r="C44" s="26"/>
      <c r="D44" s="26"/>
      <c r="E44" s="25"/>
      <c r="F44" s="25"/>
      <c r="G44" s="25"/>
      <c r="H44" s="29"/>
    </row>
    <row r="45" spans="1:8">
      <c r="A45" s="25"/>
      <c r="B45" s="25"/>
      <c r="C45" s="26"/>
      <c r="D45" s="26"/>
      <c r="E45" s="25"/>
      <c r="F45" s="25"/>
      <c r="G45" s="25"/>
      <c r="H45" s="29"/>
    </row>
    <row r="46" spans="1:8">
      <c r="A46" s="25"/>
      <c r="B46" s="25"/>
      <c r="C46" s="26"/>
      <c r="D46" s="26"/>
      <c r="E46" s="25"/>
      <c r="F46" s="25"/>
      <c r="G46" s="25"/>
      <c r="H46" s="29"/>
    </row>
    <row r="47" spans="1:8">
      <c r="A47" s="25"/>
      <c r="B47" s="25"/>
      <c r="C47" s="26"/>
      <c r="D47" s="26"/>
      <c r="E47" s="25"/>
      <c r="F47" s="25"/>
      <c r="G47" s="25"/>
      <c r="H47" s="29"/>
    </row>
    <row r="48" spans="1:8">
      <c r="A48" s="25"/>
      <c r="B48" s="25"/>
      <c r="C48" s="26"/>
      <c r="D48" s="26"/>
      <c r="E48" s="25"/>
      <c r="F48" s="25"/>
      <c r="G48" s="25"/>
      <c r="H48" s="29"/>
    </row>
    <row r="49" spans="1:8">
      <c r="A49" s="25"/>
      <c r="B49" s="25"/>
      <c r="C49" s="26"/>
      <c r="D49" s="26"/>
      <c r="E49" s="25"/>
      <c r="F49" s="25"/>
      <c r="G49" s="25"/>
      <c r="H49" s="29"/>
    </row>
    <row r="50" spans="1:8">
      <c r="A50" s="25"/>
      <c r="B50" s="25"/>
      <c r="C50" s="26"/>
      <c r="D50" s="26"/>
      <c r="E50" s="25"/>
      <c r="F50" s="25"/>
      <c r="G50" s="25"/>
      <c r="H50" s="29"/>
    </row>
    <row r="51" spans="1:8">
      <c r="A51" s="25"/>
      <c r="B51" s="25"/>
      <c r="C51" s="26"/>
      <c r="D51" s="26"/>
      <c r="E51" s="25"/>
      <c r="F51" s="25"/>
      <c r="G51" s="25"/>
      <c r="H51" s="29"/>
    </row>
    <row r="52" spans="1:8">
      <c r="A52" s="25"/>
      <c r="B52" s="25"/>
      <c r="C52" s="26"/>
      <c r="D52" s="26"/>
      <c r="E52" s="25"/>
      <c r="F52" s="25"/>
      <c r="G52" s="25"/>
      <c r="H52" s="29"/>
    </row>
    <row r="53" spans="1:8">
      <c r="A53" s="25"/>
      <c r="B53" s="25"/>
      <c r="C53" s="26"/>
      <c r="D53" s="26"/>
      <c r="E53" s="25"/>
      <c r="F53" s="25"/>
      <c r="G53" s="25"/>
      <c r="H53" s="29"/>
    </row>
    <row r="54" spans="1:8">
      <c r="A54" s="25"/>
      <c r="B54" s="25"/>
      <c r="C54" s="26"/>
      <c r="D54" s="26"/>
      <c r="E54" s="25"/>
      <c r="F54" s="25"/>
      <c r="G54" s="25"/>
      <c r="H54" s="29"/>
    </row>
    <row r="55" spans="1:8">
      <c r="A55" s="25"/>
      <c r="B55" s="25"/>
      <c r="C55" s="26"/>
      <c r="D55" s="26"/>
      <c r="E55" s="25"/>
      <c r="F55" s="25"/>
      <c r="G55" s="25"/>
      <c r="H55" s="29"/>
    </row>
    <row r="56" spans="1:8">
      <c r="A56" s="25"/>
      <c r="B56" s="25"/>
      <c r="C56" s="26"/>
      <c r="D56" s="26"/>
      <c r="E56" s="25"/>
      <c r="F56" s="25"/>
      <c r="G56" s="25"/>
      <c r="H56" s="29"/>
    </row>
    <row r="57" spans="1:8">
      <c r="A57" s="25"/>
      <c r="B57" s="25"/>
      <c r="C57" s="26"/>
      <c r="D57" s="26"/>
      <c r="E57" s="25"/>
      <c r="F57" s="25"/>
      <c r="G57" s="25"/>
      <c r="H57" s="29"/>
    </row>
    <row r="58" spans="1:8">
      <c r="A58" s="25"/>
      <c r="B58" s="25"/>
      <c r="C58" s="26"/>
      <c r="D58" s="26"/>
      <c r="E58" s="25"/>
      <c r="F58" s="25"/>
      <c r="G58" s="25"/>
      <c r="H58" s="29"/>
    </row>
    <row r="59" spans="1:8">
      <c r="A59" s="25"/>
      <c r="B59" s="25"/>
      <c r="C59" s="26"/>
      <c r="D59" s="26"/>
      <c r="E59" s="25"/>
      <c r="F59" s="25"/>
      <c r="G59" s="25"/>
      <c r="H59" s="29"/>
    </row>
    <row r="60" spans="1:8">
      <c r="A60" s="25"/>
      <c r="B60" s="25"/>
      <c r="C60" s="26"/>
      <c r="D60" s="26"/>
      <c r="E60" s="25"/>
      <c r="F60" s="25"/>
      <c r="G60" s="25"/>
      <c r="H60" s="29"/>
    </row>
    <row r="61" spans="1:8">
      <c r="A61" s="25"/>
      <c r="B61" s="25"/>
      <c r="C61" s="26"/>
      <c r="D61" s="26"/>
      <c r="E61" s="25"/>
      <c r="F61" s="25"/>
      <c r="G61" s="25"/>
      <c r="H61" s="29"/>
    </row>
    <row r="62" spans="1:8">
      <c r="A62" s="25"/>
      <c r="B62" s="25"/>
      <c r="C62" s="26"/>
      <c r="D62" s="26"/>
      <c r="E62" s="25"/>
      <c r="F62" s="25"/>
      <c r="G62" s="25"/>
      <c r="H62" s="29"/>
    </row>
    <row r="63" spans="1:8">
      <c r="A63" s="25"/>
      <c r="B63" s="25"/>
      <c r="C63" s="26"/>
      <c r="D63" s="26"/>
      <c r="E63" s="25"/>
      <c r="F63" s="25"/>
      <c r="G63" s="25"/>
      <c r="H63" s="29"/>
    </row>
    <row r="64" spans="1:8">
      <c r="A64" s="25"/>
      <c r="B64" s="25"/>
      <c r="C64" s="26"/>
      <c r="D64" s="26"/>
      <c r="E64" s="25"/>
      <c r="F64" s="25"/>
      <c r="G64" s="25"/>
      <c r="H64" s="29"/>
    </row>
    <row r="65" spans="1:12">
      <c r="A65" s="30"/>
      <c r="B65" s="25"/>
      <c r="C65" s="26"/>
      <c r="D65" s="26"/>
      <c r="E65" s="25"/>
      <c r="F65" s="25"/>
      <c r="G65" s="25"/>
      <c r="H65" s="25"/>
    </row>
    <row r="66" spans="1:12">
      <c r="A66" s="25"/>
      <c r="B66" s="25"/>
      <c r="C66" s="26"/>
      <c r="D66" s="26"/>
      <c r="E66" s="25"/>
      <c r="F66" s="25"/>
      <c r="G66" s="25"/>
      <c r="H66" s="25"/>
    </row>
    <row r="67" spans="1:12">
      <c r="A67" s="25"/>
      <c r="B67" s="25"/>
      <c r="C67" s="26"/>
      <c r="D67" s="26"/>
      <c r="E67" s="25"/>
      <c r="F67" s="25"/>
      <c r="G67" s="31"/>
      <c r="H67" s="25"/>
    </row>
    <row r="68" spans="1:12">
      <c r="A68" s="25"/>
      <c r="B68" s="25"/>
      <c r="C68" s="26"/>
      <c r="D68" s="26"/>
      <c r="E68" s="25"/>
      <c r="F68" s="25"/>
      <c r="G68" s="25"/>
      <c r="H68" s="25"/>
    </row>
    <row r="69" spans="1:12">
      <c r="A69" s="25"/>
      <c r="B69" s="25"/>
      <c r="C69" s="28"/>
      <c r="D69" s="28"/>
      <c r="E69" s="25"/>
      <c r="F69" s="25"/>
      <c r="G69" s="25"/>
      <c r="H69" s="25"/>
    </row>
    <row r="70" spans="1:12">
      <c r="A70" s="25"/>
      <c r="B70" s="25"/>
      <c r="C70" s="28"/>
      <c r="D70" s="28"/>
      <c r="E70" s="25"/>
      <c r="F70" s="29"/>
      <c r="G70" s="29"/>
      <c r="H70" s="26"/>
    </row>
    <row r="71" spans="1:12">
      <c r="A71" s="25"/>
      <c r="B71" s="25"/>
      <c r="C71" s="28"/>
      <c r="D71" s="28"/>
      <c r="E71" s="25"/>
      <c r="F71" s="29"/>
      <c r="G71" s="29"/>
      <c r="H71" s="26"/>
    </row>
    <row r="72" spans="1:12" ht="14.4" thickBot="1">
      <c r="A72" s="914"/>
      <c r="B72" s="914"/>
      <c r="C72" s="915"/>
      <c r="D72" s="915"/>
      <c r="E72" s="914"/>
      <c r="F72" s="916"/>
      <c r="G72" s="916"/>
      <c r="H72" s="915"/>
    </row>
    <row r="73" spans="1:12" ht="40.5" customHeight="1" thickBot="1">
      <c r="A73" s="2146" t="s">
        <v>139</v>
      </c>
      <c r="B73" s="2147"/>
      <c r="C73" s="2147"/>
      <c r="D73" s="2147"/>
      <c r="E73" s="2147"/>
      <c r="F73" s="191"/>
      <c r="G73" s="190"/>
      <c r="H73" s="53"/>
      <c r="I73" s="55"/>
      <c r="J73" s="55"/>
      <c r="K73" s="55"/>
      <c r="L73" s="55"/>
    </row>
    <row r="74" spans="1:12">
      <c r="C74" s="913"/>
      <c r="D74" s="913"/>
    </row>
    <row r="75" spans="1:12">
      <c r="C75" s="913"/>
      <c r="D75" s="913"/>
    </row>
    <row r="76" spans="1:12">
      <c r="C76" s="913"/>
      <c r="D76" s="913"/>
    </row>
    <row r="77" spans="1:12">
      <c r="C77" s="913"/>
      <c r="D77" s="913"/>
    </row>
    <row r="78" spans="1:12">
      <c r="C78" s="913"/>
      <c r="D78" s="913"/>
    </row>
    <row r="79" spans="1:12">
      <c r="C79" s="913"/>
      <c r="D79" s="913"/>
    </row>
    <row r="80" spans="1:12">
      <c r="C80" s="913"/>
      <c r="D80" s="913"/>
    </row>
    <row r="81" spans="3:4">
      <c r="C81" s="913"/>
      <c r="D81" s="913"/>
    </row>
    <row r="82" spans="3:4">
      <c r="C82" s="913"/>
      <c r="D82" s="913"/>
    </row>
    <row r="83" spans="3:4">
      <c r="C83" s="913"/>
      <c r="D83" s="913"/>
    </row>
    <row r="84" spans="3:4">
      <c r="C84" s="913"/>
      <c r="D84" s="913"/>
    </row>
    <row r="85" spans="3:4">
      <c r="C85" s="913"/>
      <c r="D85" s="913"/>
    </row>
    <row r="86" spans="3:4">
      <c r="C86" s="913"/>
      <c r="D86" s="913"/>
    </row>
    <row r="87" spans="3:4">
      <c r="C87" s="913"/>
      <c r="D87" s="913"/>
    </row>
    <row r="88" spans="3:4">
      <c r="C88" s="913"/>
      <c r="D88" s="913"/>
    </row>
    <row r="89" spans="3:4">
      <c r="C89" s="913"/>
      <c r="D89" s="913"/>
    </row>
    <row r="90" spans="3:4">
      <c r="C90" s="913"/>
      <c r="D90" s="913"/>
    </row>
    <row r="91" spans="3:4">
      <c r="C91" s="913"/>
      <c r="D91" s="913"/>
    </row>
    <row r="92" spans="3:4">
      <c r="C92" s="913"/>
      <c r="D92" s="913"/>
    </row>
    <row r="93" spans="3:4">
      <c r="C93" s="913"/>
      <c r="D93" s="913"/>
    </row>
    <row r="94" spans="3:4">
      <c r="C94" s="913"/>
      <c r="D94" s="913"/>
    </row>
    <row r="95" spans="3:4">
      <c r="C95" s="913"/>
      <c r="D95" s="913"/>
    </row>
    <row r="96" spans="3:4">
      <c r="C96" s="913"/>
      <c r="D96" s="913"/>
    </row>
    <row r="97" spans="3:4">
      <c r="C97" s="913"/>
      <c r="D97" s="913"/>
    </row>
    <row r="98" spans="3:4">
      <c r="C98" s="913"/>
      <c r="D98" s="913"/>
    </row>
    <row r="99" spans="3:4">
      <c r="C99" s="913"/>
      <c r="D99" s="913"/>
    </row>
    <row r="100" spans="3:4">
      <c r="C100" s="913"/>
      <c r="D100" s="913"/>
    </row>
    <row r="101" spans="3:4">
      <c r="C101" s="913"/>
      <c r="D101" s="913"/>
    </row>
    <row r="102" spans="3:4">
      <c r="C102" s="913"/>
      <c r="D102" s="913"/>
    </row>
    <row r="103" spans="3:4">
      <c r="C103" s="913"/>
      <c r="D103" s="913"/>
    </row>
    <row r="104" spans="3:4">
      <c r="C104" s="913"/>
      <c r="D104" s="913"/>
    </row>
    <row r="105" spans="3:4">
      <c r="C105" s="913"/>
      <c r="D105" s="913"/>
    </row>
    <row r="106" spans="3:4">
      <c r="C106" s="913"/>
      <c r="D106" s="913"/>
    </row>
    <row r="107" spans="3:4">
      <c r="C107" s="913"/>
      <c r="D107" s="913"/>
    </row>
    <row r="108" spans="3:4">
      <c r="C108" s="913"/>
      <c r="D108" s="913"/>
    </row>
    <row r="109" spans="3:4">
      <c r="C109" s="913"/>
      <c r="D109" s="913"/>
    </row>
    <row r="110" spans="3:4">
      <c r="C110" s="913"/>
      <c r="D110" s="913"/>
    </row>
    <row r="111" spans="3:4">
      <c r="C111" s="913"/>
      <c r="D111" s="913"/>
    </row>
    <row r="112" spans="3:4">
      <c r="C112" s="913"/>
      <c r="D112" s="913"/>
    </row>
    <row r="113" spans="3:4">
      <c r="C113" s="913"/>
      <c r="D113" s="913"/>
    </row>
    <row r="114" spans="3:4">
      <c r="C114" s="913"/>
      <c r="D114" s="913"/>
    </row>
    <row r="115" spans="3:4">
      <c r="C115" s="913"/>
      <c r="D115" s="913"/>
    </row>
    <row r="116" spans="3:4">
      <c r="C116" s="913"/>
      <c r="D116" s="913"/>
    </row>
    <row r="117" spans="3:4">
      <c r="C117" s="913"/>
      <c r="D117" s="913"/>
    </row>
    <row r="118" spans="3:4">
      <c r="C118" s="913"/>
      <c r="D118" s="913"/>
    </row>
    <row r="119" spans="3:4">
      <c r="C119" s="913"/>
      <c r="D119" s="913"/>
    </row>
    <row r="120" spans="3:4">
      <c r="C120" s="913"/>
      <c r="D120" s="913"/>
    </row>
    <row r="121" spans="3:4">
      <c r="C121" s="913"/>
      <c r="D121" s="913"/>
    </row>
    <row r="122" spans="3:4">
      <c r="C122" s="913"/>
      <c r="D122" s="913"/>
    </row>
    <row r="123" spans="3:4">
      <c r="C123" s="913"/>
      <c r="D123" s="913"/>
    </row>
    <row r="124" spans="3:4">
      <c r="C124" s="913"/>
      <c r="D124" s="913"/>
    </row>
    <row r="125" spans="3:4">
      <c r="C125" s="913"/>
      <c r="D125" s="913"/>
    </row>
    <row r="126" spans="3:4">
      <c r="C126" s="913"/>
      <c r="D126" s="913"/>
    </row>
    <row r="127" spans="3:4">
      <c r="C127" s="913"/>
      <c r="D127" s="913"/>
    </row>
    <row r="128" spans="3:4">
      <c r="C128" s="913"/>
      <c r="D128" s="913"/>
    </row>
    <row r="129" spans="3:4">
      <c r="C129" s="913"/>
      <c r="D129" s="913"/>
    </row>
    <row r="130" spans="3:4">
      <c r="C130" s="913"/>
      <c r="D130" s="913"/>
    </row>
    <row r="131" spans="3:4">
      <c r="C131" s="913"/>
      <c r="D131" s="913"/>
    </row>
    <row r="132" spans="3:4">
      <c r="C132" s="913"/>
      <c r="D132" s="913"/>
    </row>
    <row r="133" spans="3:4">
      <c r="C133" s="913"/>
      <c r="D133" s="913"/>
    </row>
    <row r="134" spans="3:4">
      <c r="C134" s="913"/>
      <c r="D134" s="913"/>
    </row>
    <row r="135" spans="3:4">
      <c r="C135" s="913"/>
      <c r="D135" s="913"/>
    </row>
    <row r="136" spans="3:4">
      <c r="C136" s="913"/>
      <c r="D136" s="913"/>
    </row>
    <row r="137" spans="3:4">
      <c r="C137" s="913"/>
      <c r="D137" s="913"/>
    </row>
    <row r="138" spans="3:4">
      <c r="C138" s="913"/>
      <c r="D138" s="913"/>
    </row>
    <row r="139" spans="3:4">
      <c r="C139" s="913"/>
      <c r="D139" s="913"/>
    </row>
    <row r="140" spans="3:4">
      <c r="C140" s="913"/>
      <c r="D140" s="913"/>
    </row>
    <row r="141" spans="3:4">
      <c r="C141" s="913"/>
      <c r="D141" s="913"/>
    </row>
    <row r="142" spans="3:4">
      <c r="C142" s="913"/>
      <c r="D142" s="913"/>
    </row>
    <row r="143" spans="3:4">
      <c r="C143" s="913"/>
      <c r="D143" s="913"/>
    </row>
    <row r="144" spans="3:4">
      <c r="C144" s="913"/>
      <c r="D144" s="913"/>
    </row>
    <row r="145" spans="3:4">
      <c r="C145" s="913"/>
      <c r="D145" s="913"/>
    </row>
    <row r="146" spans="3:4">
      <c r="C146" s="913"/>
      <c r="D146" s="913"/>
    </row>
    <row r="147" spans="3:4">
      <c r="C147" s="913"/>
      <c r="D147" s="913"/>
    </row>
    <row r="148" spans="3:4">
      <c r="C148" s="913"/>
      <c r="D148" s="913"/>
    </row>
    <row r="149" spans="3:4">
      <c r="C149" s="913"/>
      <c r="D149" s="913"/>
    </row>
    <row r="150" spans="3:4">
      <c r="C150" s="913"/>
      <c r="D150" s="913"/>
    </row>
    <row r="151" spans="3:4">
      <c r="C151" s="913"/>
      <c r="D151" s="913"/>
    </row>
    <row r="152" spans="3:4">
      <c r="C152" s="913"/>
      <c r="D152" s="913"/>
    </row>
    <row r="153" spans="3:4">
      <c r="C153" s="913"/>
      <c r="D153" s="913"/>
    </row>
    <row r="154" spans="3:4">
      <c r="C154" s="913"/>
      <c r="D154" s="913"/>
    </row>
    <row r="155" spans="3:4">
      <c r="C155" s="913"/>
      <c r="D155" s="913"/>
    </row>
    <row r="156" spans="3:4">
      <c r="C156" s="913"/>
      <c r="D156" s="913"/>
    </row>
    <row r="157" spans="3:4">
      <c r="C157" s="913"/>
      <c r="D157" s="913"/>
    </row>
    <row r="158" spans="3:4">
      <c r="C158" s="913"/>
      <c r="D158" s="913"/>
    </row>
    <row r="159" spans="3:4">
      <c r="C159" s="913"/>
      <c r="D159" s="913"/>
    </row>
    <row r="160" spans="3:4">
      <c r="C160" s="913"/>
      <c r="D160" s="913"/>
    </row>
    <row r="161" spans="3:4">
      <c r="C161" s="913"/>
      <c r="D161" s="913"/>
    </row>
    <row r="162" spans="3:4">
      <c r="C162" s="913"/>
      <c r="D162" s="913"/>
    </row>
    <row r="163" spans="3:4">
      <c r="C163" s="913"/>
      <c r="D163" s="913"/>
    </row>
    <row r="164" spans="3:4">
      <c r="C164" s="913"/>
      <c r="D164" s="913"/>
    </row>
    <row r="165" spans="3:4">
      <c r="C165" s="913"/>
      <c r="D165" s="913"/>
    </row>
    <row r="166" spans="3:4">
      <c r="C166" s="913"/>
      <c r="D166" s="913"/>
    </row>
    <row r="167" spans="3:4">
      <c r="C167" s="913"/>
      <c r="D167" s="913"/>
    </row>
    <row r="168" spans="3:4">
      <c r="C168" s="913"/>
      <c r="D168" s="913"/>
    </row>
    <row r="169" spans="3:4">
      <c r="C169" s="913"/>
      <c r="D169" s="913"/>
    </row>
    <row r="170" spans="3:4">
      <c r="C170" s="913"/>
      <c r="D170" s="913"/>
    </row>
    <row r="171" spans="3:4">
      <c r="C171" s="913"/>
      <c r="D171" s="913"/>
    </row>
    <row r="172" spans="3:4">
      <c r="C172" s="913"/>
      <c r="D172" s="913"/>
    </row>
    <row r="173" spans="3:4">
      <c r="C173" s="913"/>
      <c r="D173" s="913"/>
    </row>
    <row r="174" spans="3:4">
      <c r="C174" s="913"/>
      <c r="D174" s="913"/>
    </row>
    <row r="175" spans="3:4">
      <c r="C175" s="913"/>
      <c r="D175" s="913"/>
    </row>
    <row r="176" spans="3:4">
      <c r="C176" s="913"/>
      <c r="D176" s="913"/>
    </row>
    <row r="177" spans="3:4">
      <c r="C177" s="913"/>
      <c r="D177" s="913"/>
    </row>
    <row r="178" spans="3:4">
      <c r="C178" s="913"/>
      <c r="D178" s="913"/>
    </row>
    <row r="179" spans="3:4">
      <c r="C179" s="913"/>
      <c r="D179" s="913"/>
    </row>
    <row r="180" spans="3:4">
      <c r="C180" s="913"/>
      <c r="D180" s="913"/>
    </row>
    <row r="181" spans="3:4">
      <c r="C181" s="913"/>
      <c r="D181" s="913"/>
    </row>
    <row r="182" spans="3:4">
      <c r="C182" s="913"/>
      <c r="D182" s="913"/>
    </row>
    <row r="183" spans="3:4">
      <c r="C183" s="913"/>
      <c r="D183" s="913"/>
    </row>
    <row r="184" spans="3:4">
      <c r="C184" s="913"/>
      <c r="D184" s="913"/>
    </row>
    <row r="185" spans="3:4">
      <c r="C185" s="913"/>
      <c r="D185" s="913"/>
    </row>
    <row r="186" spans="3:4">
      <c r="C186" s="913"/>
      <c r="D186" s="913"/>
    </row>
    <row r="187" spans="3:4">
      <c r="C187" s="913"/>
      <c r="D187" s="913"/>
    </row>
    <row r="188" spans="3:4">
      <c r="C188" s="913"/>
      <c r="D188" s="913"/>
    </row>
    <row r="189" spans="3:4">
      <c r="C189" s="913"/>
      <c r="D189" s="913"/>
    </row>
    <row r="190" spans="3:4">
      <c r="C190" s="913"/>
      <c r="D190" s="913"/>
    </row>
    <row r="191" spans="3:4">
      <c r="C191" s="913"/>
      <c r="D191" s="913"/>
    </row>
    <row r="192" spans="3:4">
      <c r="C192" s="913"/>
      <c r="D192" s="913"/>
    </row>
    <row r="193" spans="3:4">
      <c r="C193" s="913"/>
      <c r="D193" s="913"/>
    </row>
    <row r="194" spans="3:4">
      <c r="C194" s="913"/>
      <c r="D194" s="913"/>
    </row>
    <row r="195" spans="3:4">
      <c r="C195" s="913"/>
      <c r="D195" s="913"/>
    </row>
    <row r="196" spans="3:4">
      <c r="C196" s="913"/>
      <c r="D196" s="913"/>
    </row>
    <row r="197" spans="3:4">
      <c r="C197" s="913"/>
      <c r="D197" s="913"/>
    </row>
    <row r="198" spans="3:4">
      <c r="C198" s="913"/>
      <c r="D198" s="913"/>
    </row>
    <row r="199" spans="3:4">
      <c r="C199" s="913"/>
      <c r="D199" s="913"/>
    </row>
    <row r="200" spans="3:4">
      <c r="C200" s="913"/>
      <c r="D200" s="913"/>
    </row>
    <row r="201" spans="3:4">
      <c r="C201" s="913"/>
      <c r="D201" s="913"/>
    </row>
    <row r="202" spans="3:4">
      <c r="C202" s="913"/>
      <c r="D202" s="913"/>
    </row>
    <row r="203" spans="3:4">
      <c r="C203" s="913"/>
      <c r="D203" s="913"/>
    </row>
    <row r="204" spans="3:4">
      <c r="C204" s="913"/>
      <c r="D204" s="913"/>
    </row>
    <row r="205" spans="3:4">
      <c r="C205" s="913"/>
      <c r="D205" s="913"/>
    </row>
    <row r="206" spans="3:4">
      <c r="C206" s="913"/>
      <c r="D206" s="913"/>
    </row>
    <row r="207" spans="3:4">
      <c r="C207" s="913"/>
      <c r="D207" s="913"/>
    </row>
    <row r="208" spans="3:4">
      <c r="C208" s="913"/>
      <c r="D208" s="913"/>
    </row>
    <row r="209" spans="3:4">
      <c r="C209" s="913"/>
      <c r="D209" s="913"/>
    </row>
    <row r="210" spans="3:4">
      <c r="C210" s="913"/>
      <c r="D210" s="913"/>
    </row>
    <row r="211" spans="3:4">
      <c r="C211" s="913"/>
      <c r="D211" s="913"/>
    </row>
    <row r="212" spans="3:4">
      <c r="C212" s="913"/>
      <c r="D212" s="913"/>
    </row>
    <row r="213" spans="3:4">
      <c r="C213" s="913"/>
      <c r="D213" s="913"/>
    </row>
    <row r="214" spans="3:4">
      <c r="C214" s="913"/>
      <c r="D214" s="913"/>
    </row>
    <row r="215" spans="3:4">
      <c r="C215" s="913"/>
      <c r="D215" s="913"/>
    </row>
    <row r="216" spans="3:4">
      <c r="C216" s="913"/>
      <c r="D216" s="913"/>
    </row>
    <row r="217" spans="3:4">
      <c r="C217" s="913"/>
      <c r="D217" s="913"/>
    </row>
    <row r="218" spans="3:4">
      <c r="C218" s="913"/>
      <c r="D218" s="913"/>
    </row>
    <row r="219" spans="3:4">
      <c r="C219" s="913"/>
      <c r="D219" s="913"/>
    </row>
    <row r="220" spans="3:4">
      <c r="C220" s="913"/>
      <c r="D220" s="913"/>
    </row>
    <row r="221" spans="3:4">
      <c r="C221" s="913"/>
      <c r="D221" s="913"/>
    </row>
    <row r="222" spans="3:4">
      <c r="C222" s="913"/>
      <c r="D222" s="913"/>
    </row>
    <row r="223" spans="3:4">
      <c r="C223" s="913"/>
      <c r="D223" s="913"/>
    </row>
    <row r="224" spans="3:4">
      <c r="C224" s="913"/>
      <c r="D224" s="913"/>
    </row>
    <row r="225" spans="3:4">
      <c r="C225" s="913"/>
      <c r="D225" s="913"/>
    </row>
    <row r="226" spans="3:4">
      <c r="C226" s="913"/>
      <c r="D226" s="913"/>
    </row>
    <row r="227" spans="3:4">
      <c r="C227" s="913"/>
      <c r="D227" s="913"/>
    </row>
    <row r="228" spans="3:4">
      <c r="C228" s="913"/>
      <c r="D228" s="913"/>
    </row>
    <row r="229" spans="3:4">
      <c r="C229" s="913"/>
      <c r="D229" s="913"/>
    </row>
    <row r="230" spans="3:4">
      <c r="C230" s="913"/>
      <c r="D230" s="913"/>
    </row>
    <row r="231" spans="3:4">
      <c r="C231" s="913"/>
      <c r="D231" s="913"/>
    </row>
    <row r="232" spans="3:4">
      <c r="C232" s="913"/>
      <c r="D232" s="913"/>
    </row>
    <row r="233" spans="3:4">
      <c r="C233" s="913"/>
      <c r="D233" s="913"/>
    </row>
    <row r="234" spans="3:4">
      <c r="C234" s="913"/>
      <c r="D234" s="913"/>
    </row>
    <row r="235" spans="3:4">
      <c r="C235" s="913"/>
      <c r="D235" s="913"/>
    </row>
  </sheetData>
  <mergeCells count="5">
    <mergeCell ref="A73:E73"/>
    <mergeCell ref="A2:E2"/>
    <mergeCell ref="C7:C8"/>
    <mergeCell ref="A7:A8"/>
    <mergeCell ref="B7:B8"/>
  </mergeCells>
  <pageMargins left="0.70866141732283472" right="0.70866141732283472" top="0.74803149606299213" bottom="0.74803149606299213" header="0.31496062992125984" footer="0.31496062992125984"/>
  <pageSetup paperSize="9" scale="55" firstPageNumber="12" fitToHeight="0" orientation="portrait" r:id="rId1"/>
  <headerFooter scaleWithDoc="0" alignWithMargins="0">
    <oddHeader>&amp;C&amp;"Arial Narrow,Regular"&amp;10C80.8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9"/>
  <sheetViews>
    <sheetView view="pageBreakPreview" topLeftCell="A340" zoomScale="89" zoomScaleNormal="100" zoomScaleSheetLayoutView="89" workbookViewId="0">
      <selection activeCell="L168" sqref="L168"/>
    </sheetView>
  </sheetViews>
  <sheetFormatPr defaultColWidth="9.33203125" defaultRowHeight="13.8"/>
  <cols>
    <col min="1" max="1" width="7.88671875" style="1041" customWidth="1"/>
    <col min="2" max="2" width="13.44140625" style="1041" customWidth="1"/>
    <col min="3" max="3" width="9.88671875" style="1038" customWidth="1"/>
    <col min="4" max="4" width="4.33203125" style="1038" customWidth="1"/>
    <col min="5" max="6" width="3.6640625" style="1038" customWidth="1"/>
    <col min="7" max="7" width="55.5546875" style="1038" customWidth="1"/>
    <col min="8" max="8" width="12.33203125" style="1038" customWidth="1"/>
    <col min="9" max="9" width="11.6640625" style="1041" customWidth="1"/>
    <col min="10" max="10" width="14.44140625" style="1041" customWidth="1"/>
    <col min="11" max="11" width="16.5546875" style="1222" customWidth="1"/>
    <col min="12" max="12" width="16.44140625" style="1207" customWidth="1"/>
    <col min="13" max="13" width="11.33203125" style="1038" bestFit="1" customWidth="1"/>
    <col min="14" max="16384" width="9.33203125" style="1038"/>
  </cols>
  <sheetData>
    <row r="1" spans="1:13" ht="12.75" customHeight="1">
      <c r="A1" s="1036" t="s">
        <v>971</v>
      </c>
      <c r="B1" s="1037"/>
      <c r="C1" s="1037"/>
      <c r="D1" s="1037"/>
      <c r="E1" s="1037"/>
      <c r="F1" s="1037"/>
      <c r="G1" s="1037"/>
      <c r="H1" s="1037"/>
      <c r="I1" s="1037"/>
      <c r="J1" s="1198"/>
    </row>
    <row r="2" spans="1:13" ht="12.75" customHeight="1">
      <c r="A2" s="1036" t="s">
        <v>1783</v>
      </c>
      <c r="B2" s="1037"/>
      <c r="C2" s="1037"/>
      <c r="D2" s="1037"/>
      <c r="E2" s="1037"/>
      <c r="F2" s="1037"/>
      <c r="G2" s="1037"/>
      <c r="H2" s="1037"/>
      <c r="I2" s="1037"/>
      <c r="J2" s="1198"/>
    </row>
    <row r="3" spans="1:13" ht="12.75" customHeight="1">
      <c r="A3" s="1036" t="s">
        <v>1784</v>
      </c>
      <c r="B3" s="1039"/>
      <c r="C3" s="1039"/>
      <c r="D3" s="1039"/>
      <c r="E3" s="1039"/>
      <c r="F3" s="1039"/>
      <c r="G3" s="1039"/>
      <c r="H3" s="1039"/>
      <c r="I3" s="1039"/>
      <c r="J3" s="1199"/>
    </row>
    <row r="4" spans="1:13" ht="12.75" customHeight="1">
      <c r="A4" s="1121"/>
      <c r="B4" s="1039"/>
      <c r="C4" s="1039"/>
      <c r="D4" s="1039"/>
      <c r="E4" s="1039"/>
      <c r="F4" s="1039"/>
      <c r="G4" s="1039"/>
      <c r="H4" s="1039"/>
      <c r="I4" s="1039"/>
      <c r="J4" s="1199"/>
    </row>
    <row r="5" spans="1:13" ht="12.75" customHeight="1">
      <c r="A5" s="1250" t="s">
        <v>1303</v>
      </c>
      <c r="B5" s="1251"/>
      <c r="C5" s="1251"/>
      <c r="D5" s="1251"/>
      <c r="E5" s="1040"/>
      <c r="F5" s="1039"/>
      <c r="G5" s="1039"/>
      <c r="H5" s="1039"/>
      <c r="I5" s="1039"/>
      <c r="J5" s="1199"/>
    </row>
    <row r="6" spans="1:13" ht="12.75" customHeight="1">
      <c r="A6" s="1039"/>
      <c r="B6" s="1039"/>
      <c r="C6" s="1039"/>
      <c r="D6" s="1039"/>
      <c r="E6" s="1039"/>
      <c r="F6" s="1039"/>
      <c r="G6" s="1039"/>
      <c r="H6" s="1039"/>
      <c r="I6" s="1039"/>
      <c r="J6" s="1199"/>
    </row>
    <row r="7" spans="1:13" s="1041" customFormat="1" ht="12.75" customHeight="1">
      <c r="A7" s="2157" t="s">
        <v>111</v>
      </c>
      <c r="B7" s="2157" t="s">
        <v>112</v>
      </c>
      <c r="C7" s="2159" t="s">
        <v>2</v>
      </c>
      <c r="D7" s="2159"/>
      <c r="E7" s="2159"/>
      <c r="F7" s="2159"/>
      <c r="G7" s="2159"/>
      <c r="H7" s="1099" t="s">
        <v>882</v>
      </c>
      <c r="I7" s="2159" t="s">
        <v>3</v>
      </c>
      <c r="J7" s="2161" t="s">
        <v>564</v>
      </c>
      <c r="K7" s="2149" t="s">
        <v>5</v>
      </c>
      <c r="L7" s="1208" t="s">
        <v>565</v>
      </c>
    </row>
    <row r="8" spans="1:13" s="1041" customFormat="1" ht="18.75" customHeight="1">
      <c r="A8" s="2158"/>
      <c r="B8" s="2158"/>
      <c r="C8" s="2160"/>
      <c r="D8" s="2160"/>
      <c r="E8" s="2160"/>
      <c r="F8" s="2160"/>
      <c r="G8" s="2160"/>
      <c r="H8" s="1100" t="s">
        <v>883</v>
      </c>
      <c r="I8" s="2160"/>
      <c r="J8" s="2162"/>
      <c r="K8" s="2150"/>
      <c r="L8" s="1209" t="s">
        <v>6</v>
      </c>
    </row>
    <row r="9" spans="1:13" ht="12.75" customHeight="1">
      <c r="A9" s="1046"/>
      <c r="B9" s="1042"/>
      <c r="C9" s="1043"/>
      <c r="G9" s="1045"/>
      <c r="H9" s="1045"/>
      <c r="I9" s="1046"/>
      <c r="J9" s="1046"/>
      <c r="K9" s="1130"/>
      <c r="L9" s="1210"/>
      <c r="M9" s="1043"/>
    </row>
    <row r="10" spans="1:13" ht="12.75" customHeight="1">
      <c r="A10" s="1055">
        <f>F10</f>
        <v>5</v>
      </c>
      <c r="B10" s="1101" t="s">
        <v>1174</v>
      </c>
      <c r="C10" s="1048" t="s">
        <v>1175</v>
      </c>
      <c r="D10" s="1049"/>
      <c r="E10" s="1049"/>
      <c r="F10" s="1050">
        <f>5</f>
        <v>5</v>
      </c>
      <c r="G10" s="1045"/>
      <c r="H10" s="1045"/>
      <c r="I10" s="1046"/>
      <c r="J10" s="1046"/>
      <c r="K10" s="1130"/>
      <c r="L10" s="1210"/>
      <c r="M10" s="1043"/>
    </row>
    <row r="11" spans="1:13" ht="12.75" customHeight="1">
      <c r="A11" s="1047"/>
      <c r="B11" s="1056" t="s">
        <v>1176</v>
      </c>
      <c r="C11" s="1051" t="s">
        <v>1177</v>
      </c>
      <c r="D11" s="1049"/>
      <c r="E11" s="1049"/>
      <c r="G11" s="1045"/>
      <c r="H11" s="1045"/>
      <c r="I11" s="1046"/>
      <c r="J11" s="1046"/>
      <c r="K11" s="1130"/>
      <c r="L11" s="1210"/>
      <c r="M11" s="1043"/>
    </row>
    <row r="12" spans="1:13" ht="12.75" customHeight="1">
      <c r="A12" s="1047"/>
      <c r="B12" s="1056"/>
      <c r="C12" s="1051"/>
      <c r="D12" s="1049"/>
      <c r="E12" s="1049"/>
      <c r="G12" s="1045"/>
      <c r="H12" s="1045"/>
      <c r="I12" s="1046"/>
      <c r="J12" s="1046"/>
      <c r="K12" s="1130"/>
      <c r="L12" s="1210"/>
      <c r="M12" s="1043"/>
    </row>
    <row r="13" spans="1:13" ht="30.75" customHeight="1">
      <c r="A13" s="1047"/>
      <c r="B13" s="1056"/>
      <c r="C13" s="2151" t="s">
        <v>1378</v>
      </c>
      <c r="D13" s="2152"/>
      <c r="E13" s="2152"/>
      <c r="F13" s="2152"/>
      <c r="G13" s="2153"/>
      <c r="H13" s="1045"/>
      <c r="I13" s="1046"/>
      <c r="J13" s="1046"/>
      <c r="K13" s="1130"/>
      <c r="L13" s="1210"/>
      <c r="M13" s="1043"/>
    </row>
    <row r="14" spans="1:13" ht="12.75" customHeight="1">
      <c r="A14" s="1047"/>
      <c r="B14" s="1052"/>
      <c r="C14" s="1053"/>
      <c r="D14" s="1054"/>
      <c r="E14" s="1054"/>
      <c r="G14" s="1045"/>
      <c r="H14" s="1045"/>
      <c r="I14" s="1046"/>
      <c r="J14" s="1046"/>
      <c r="K14" s="1130"/>
      <c r="L14" s="1210"/>
      <c r="M14" s="1043"/>
    </row>
    <row r="15" spans="1:13" ht="12.75" customHeight="1">
      <c r="A15" s="1055"/>
      <c r="B15" s="1203" t="s">
        <v>1178</v>
      </c>
      <c r="C15" s="1051" t="s">
        <v>1179</v>
      </c>
      <c r="D15" s="1049"/>
      <c r="E15" s="1049"/>
      <c r="G15" s="1045"/>
      <c r="H15" s="1045"/>
      <c r="I15" s="1046"/>
      <c r="J15" s="1046"/>
      <c r="K15" s="1130"/>
      <c r="L15" s="1210"/>
      <c r="M15" s="1043"/>
    </row>
    <row r="16" spans="1:13" ht="12.75" customHeight="1">
      <c r="A16" s="1047"/>
      <c r="B16" s="1056"/>
      <c r="C16" s="1057"/>
      <c r="D16" s="1058"/>
      <c r="E16" s="1058"/>
      <c r="G16" s="1045"/>
      <c r="H16" s="1045"/>
      <c r="I16" s="1046"/>
      <c r="J16" s="1046"/>
      <c r="K16" s="1130"/>
      <c r="L16" s="1210"/>
      <c r="M16" s="1043"/>
    </row>
    <row r="17" spans="1:13" ht="12.75" customHeight="1">
      <c r="A17" s="1047"/>
      <c r="B17" s="1052"/>
      <c r="C17" s="1144" t="s">
        <v>1180</v>
      </c>
      <c r="D17" s="1145" t="s">
        <v>1181</v>
      </c>
      <c r="E17" s="1146"/>
      <c r="F17" s="1141"/>
      <c r="G17" s="1147"/>
      <c r="H17" s="1147"/>
      <c r="I17" s="1138"/>
      <c r="J17" s="1138"/>
      <c r="K17" s="1185"/>
      <c r="L17" s="1211"/>
      <c r="M17" s="1043"/>
    </row>
    <row r="18" spans="1:13" ht="12.75" customHeight="1">
      <c r="A18" s="1047"/>
      <c r="B18" s="1056"/>
      <c r="C18" s="1144"/>
      <c r="D18" s="1148"/>
      <c r="E18" s="1146"/>
      <c r="F18" s="1141"/>
      <c r="G18" s="1147"/>
      <c r="H18" s="1147"/>
      <c r="I18" s="1138"/>
      <c r="J18" s="1138"/>
      <c r="K18" s="1185"/>
      <c r="L18" s="1211"/>
      <c r="M18" s="1043"/>
    </row>
    <row r="19" spans="1:13" ht="12.75" customHeight="1">
      <c r="A19" s="1047">
        <f>SUM($A$10+0.1)</f>
        <v>5.0999999999999996</v>
      </c>
      <c r="B19" s="1056"/>
      <c r="C19" s="1144"/>
      <c r="D19" s="1149" t="s">
        <v>1182</v>
      </c>
      <c r="E19" s="1146" t="s">
        <v>1183</v>
      </c>
      <c r="F19" s="1141"/>
      <c r="G19" s="1147"/>
      <c r="H19" s="1147" t="s">
        <v>1015</v>
      </c>
      <c r="I19" s="1137" t="s">
        <v>877</v>
      </c>
      <c r="J19" s="1150">
        <v>200</v>
      </c>
      <c r="K19" s="1185"/>
      <c r="L19" s="1212"/>
      <c r="M19" s="1043"/>
    </row>
    <row r="20" spans="1:13" ht="12.75" customHeight="1">
      <c r="A20" s="1047"/>
      <c r="B20" s="1056"/>
      <c r="C20" s="1144"/>
      <c r="D20" s="1149"/>
      <c r="E20" s="1146" t="s">
        <v>1184</v>
      </c>
      <c r="F20" s="1141"/>
      <c r="G20" s="1147"/>
      <c r="H20" s="1147"/>
      <c r="I20" s="1137"/>
      <c r="J20" s="1150"/>
      <c r="K20" s="1185"/>
      <c r="L20" s="1212"/>
      <c r="M20" s="1043"/>
    </row>
    <row r="21" spans="1:13" ht="12.75" customHeight="1">
      <c r="A21" s="1047"/>
      <c r="B21" s="1056"/>
      <c r="C21" s="1144"/>
      <c r="D21" s="1149"/>
      <c r="E21" s="1146"/>
      <c r="F21" s="1141"/>
      <c r="G21" s="1147"/>
      <c r="H21" s="1147"/>
      <c r="I21" s="1137"/>
      <c r="J21" s="1150"/>
      <c r="K21" s="1185"/>
      <c r="L21" s="1212"/>
      <c r="M21" s="1043"/>
    </row>
    <row r="22" spans="1:13" ht="18.75" customHeight="1">
      <c r="A22" s="1047">
        <f>A19+0.1</f>
        <v>5.1999999999999993</v>
      </c>
      <c r="B22" s="1056"/>
      <c r="C22" s="1144"/>
      <c r="D22" s="1149" t="s">
        <v>1185</v>
      </c>
      <c r="E22" s="1146" t="s">
        <v>1186</v>
      </c>
      <c r="F22" s="1141"/>
      <c r="G22" s="1147"/>
      <c r="H22" s="1147" t="s">
        <v>1015</v>
      </c>
      <c r="I22" s="1137" t="s">
        <v>877</v>
      </c>
      <c r="J22" s="1150">
        <v>100</v>
      </c>
      <c r="K22" s="1185"/>
      <c r="L22" s="1212"/>
      <c r="M22" s="1043"/>
    </row>
    <row r="23" spans="1:13" ht="12.75" customHeight="1">
      <c r="A23" s="1047"/>
      <c r="B23" s="1056"/>
      <c r="C23" s="1144"/>
      <c r="D23" s="1148"/>
      <c r="E23" s="1146" t="s">
        <v>1187</v>
      </c>
      <c r="F23" s="1141"/>
      <c r="G23" s="1147"/>
      <c r="H23" s="1147"/>
      <c r="I23" s="1137"/>
      <c r="J23" s="1138"/>
      <c r="K23" s="1185"/>
      <c r="L23" s="1211"/>
      <c r="M23" s="1043"/>
    </row>
    <row r="24" spans="1:13" ht="12.75" customHeight="1">
      <c r="A24" s="1047"/>
      <c r="B24" s="1056"/>
      <c r="C24" s="1144"/>
      <c r="D24" s="1148"/>
      <c r="E24" s="1146" t="s">
        <v>1188</v>
      </c>
      <c r="F24" s="1141"/>
      <c r="G24" s="1147"/>
      <c r="H24" s="1147"/>
      <c r="I24" s="1137"/>
      <c r="J24" s="1138"/>
      <c r="K24" s="1185"/>
      <c r="L24" s="1211"/>
      <c r="M24" s="1043"/>
    </row>
    <row r="25" spans="1:13" ht="12.75" customHeight="1">
      <c r="A25" s="1047"/>
      <c r="B25" s="1056"/>
      <c r="C25" s="1059"/>
      <c r="D25" s="1060"/>
      <c r="E25" s="1058"/>
      <c r="G25" s="1045"/>
      <c r="H25" s="1045"/>
      <c r="I25" s="1062"/>
      <c r="J25" s="1046"/>
      <c r="K25" s="1130"/>
      <c r="L25" s="1210"/>
      <c r="M25" s="1043"/>
    </row>
    <row r="26" spans="1:13" ht="12.75" customHeight="1">
      <c r="A26" s="1047"/>
      <c r="B26" s="1064"/>
      <c r="C26" s="1065" t="s">
        <v>1189</v>
      </c>
      <c r="D26" s="1066" t="s">
        <v>1190</v>
      </c>
      <c r="E26" s="1058"/>
      <c r="G26" s="1045"/>
      <c r="H26" s="1045"/>
      <c r="I26" s="1062"/>
      <c r="J26" s="1046"/>
      <c r="K26" s="1130"/>
      <c r="L26" s="1210"/>
      <c r="M26" s="1043"/>
    </row>
    <row r="27" spans="1:13" ht="12.75" customHeight="1">
      <c r="A27" s="1047"/>
      <c r="B27" s="1064"/>
      <c r="C27" s="1065"/>
      <c r="D27" s="1060"/>
      <c r="E27" s="1058"/>
      <c r="G27" s="1045"/>
      <c r="H27" s="1045"/>
      <c r="I27" s="1062"/>
      <c r="J27" s="1046"/>
      <c r="K27" s="1130"/>
      <c r="L27" s="1210"/>
      <c r="M27" s="1043"/>
    </row>
    <row r="28" spans="1:13" ht="12.75" customHeight="1">
      <c r="A28" s="1047">
        <v>5.3</v>
      </c>
      <c r="B28" s="1064"/>
      <c r="C28" s="1065"/>
      <c r="D28" s="1067" t="s">
        <v>1191</v>
      </c>
      <c r="E28" s="1058"/>
      <c r="G28" s="1045"/>
      <c r="H28" s="1045"/>
      <c r="I28" s="1062" t="s">
        <v>877</v>
      </c>
      <c r="J28" s="1046">
        <v>500</v>
      </c>
      <c r="K28" s="1130"/>
      <c r="L28" s="1210"/>
      <c r="M28" s="1043"/>
    </row>
    <row r="29" spans="1:13" ht="12.75" customHeight="1">
      <c r="A29" s="1047"/>
      <c r="B29" s="1056"/>
      <c r="C29" s="1059"/>
      <c r="D29" s="1060"/>
      <c r="E29" s="1058"/>
      <c r="G29" s="1045"/>
      <c r="H29" s="1045"/>
      <c r="I29" s="1062"/>
      <c r="J29" s="1046"/>
      <c r="K29" s="1130"/>
      <c r="L29" s="1210"/>
      <c r="M29" s="1043"/>
    </row>
    <row r="30" spans="1:13" ht="12.75" customHeight="1">
      <c r="A30" s="1047"/>
      <c r="B30" s="1052" t="s">
        <v>1192</v>
      </c>
      <c r="C30" s="1068" t="str">
        <f>UPPER("Reinforcement")</f>
        <v>REINFORCEMENT</v>
      </c>
      <c r="D30" s="1060"/>
      <c r="E30" s="1058"/>
      <c r="G30" s="1045"/>
      <c r="H30" s="1045"/>
      <c r="I30" s="1062"/>
      <c r="J30" s="1046"/>
      <c r="K30" s="1130"/>
      <c r="L30" s="1210"/>
      <c r="M30" s="1043"/>
    </row>
    <row r="31" spans="1:13" ht="12.75" customHeight="1">
      <c r="A31" s="1047"/>
      <c r="B31" s="1056"/>
      <c r="C31" s="1059"/>
      <c r="D31" s="1060" t="s">
        <v>1193</v>
      </c>
      <c r="E31" s="1058"/>
      <c r="G31" s="1045"/>
      <c r="H31" s="1045"/>
      <c r="I31" s="1062"/>
      <c r="J31" s="1046"/>
      <c r="K31" s="1130"/>
      <c r="L31" s="1210"/>
      <c r="M31" s="1043"/>
    </row>
    <row r="32" spans="1:13" ht="12.75" customHeight="1">
      <c r="A32" s="1047">
        <v>5.4</v>
      </c>
      <c r="B32" s="1056"/>
      <c r="C32" s="1059"/>
      <c r="D32" s="1067" t="s">
        <v>1180</v>
      </c>
      <c r="E32" s="1058" t="s">
        <v>1194</v>
      </c>
      <c r="G32" s="1045"/>
      <c r="H32" s="1045"/>
      <c r="I32" s="1062" t="s">
        <v>473</v>
      </c>
      <c r="J32" s="1046">
        <v>6</v>
      </c>
      <c r="K32" s="1130"/>
      <c r="L32" s="1210"/>
      <c r="M32" s="1043"/>
    </row>
    <row r="33" spans="1:13" ht="12.75" customHeight="1">
      <c r="A33" s="1047"/>
      <c r="B33" s="1056"/>
      <c r="C33" s="1059"/>
      <c r="D33" s="1066"/>
      <c r="E33" s="1058"/>
      <c r="G33" s="1045"/>
      <c r="H33" s="1045"/>
      <c r="I33" s="1062"/>
      <c r="J33" s="1046"/>
      <c r="K33" s="1130"/>
      <c r="L33" s="1210"/>
      <c r="M33" s="1043"/>
    </row>
    <row r="34" spans="1:13" ht="12.75" customHeight="1">
      <c r="A34" s="1047">
        <f>A32+0.1</f>
        <v>5.5</v>
      </c>
      <c r="B34" s="1056"/>
      <c r="C34" s="1059"/>
      <c r="D34" s="1066" t="s">
        <v>1195</v>
      </c>
      <c r="E34" s="1058" t="s">
        <v>1196</v>
      </c>
      <c r="G34" s="1045"/>
      <c r="H34" s="1045"/>
      <c r="I34" s="1062" t="s">
        <v>473</v>
      </c>
      <c r="J34" s="1046">
        <v>5</v>
      </c>
      <c r="K34" s="1130"/>
      <c r="L34" s="1210"/>
      <c r="M34" s="1043"/>
    </row>
    <row r="35" spans="1:13" ht="12.75" customHeight="1">
      <c r="A35" s="1047"/>
      <c r="B35" s="1056"/>
      <c r="C35" s="1059"/>
      <c r="D35" s="1066"/>
      <c r="E35" s="1058"/>
      <c r="G35" s="1045"/>
      <c r="H35" s="1045"/>
      <c r="I35" s="1062"/>
      <c r="J35" s="1046"/>
      <c r="K35" s="1130"/>
      <c r="L35" s="1210"/>
      <c r="M35" s="1043"/>
    </row>
    <row r="36" spans="1:13" ht="12.75" customHeight="1">
      <c r="A36" s="1047">
        <f>A34+0.1</f>
        <v>5.6</v>
      </c>
      <c r="B36" s="1056"/>
      <c r="C36" s="1059"/>
      <c r="D36" s="1067" t="s">
        <v>1197</v>
      </c>
      <c r="E36" s="1058" t="s">
        <v>1342</v>
      </c>
      <c r="G36" s="1045"/>
      <c r="H36" s="1045"/>
      <c r="I36" s="1062" t="s">
        <v>473</v>
      </c>
      <c r="J36" s="1046">
        <v>4</v>
      </c>
      <c r="K36" s="1130"/>
      <c r="L36" s="1210"/>
      <c r="M36" s="1043"/>
    </row>
    <row r="37" spans="1:13" ht="12.75" customHeight="1">
      <c r="A37" s="1047"/>
      <c r="B37" s="1056"/>
      <c r="C37" s="1059"/>
      <c r="D37" s="1067"/>
      <c r="E37" s="1058"/>
      <c r="G37" s="1045"/>
      <c r="H37" s="1045"/>
      <c r="I37" s="1062"/>
      <c r="J37" s="1046"/>
      <c r="K37" s="1130"/>
      <c r="L37" s="1210"/>
      <c r="M37" s="1043"/>
    </row>
    <row r="38" spans="1:13" ht="12.75" customHeight="1">
      <c r="A38" s="1047">
        <v>5.7</v>
      </c>
      <c r="B38" s="1056"/>
      <c r="C38" s="1059"/>
      <c r="D38" s="1067" t="s">
        <v>1222</v>
      </c>
      <c r="E38" s="1058" t="s">
        <v>1326</v>
      </c>
      <c r="G38" s="1045"/>
      <c r="H38" s="1045"/>
      <c r="I38" s="1062" t="s">
        <v>473</v>
      </c>
      <c r="J38" s="1046">
        <v>0.5</v>
      </c>
      <c r="K38" s="1130"/>
      <c r="L38" s="1210"/>
      <c r="M38" s="1043"/>
    </row>
    <row r="39" spans="1:13" ht="12.75" customHeight="1">
      <c r="A39" s="1047"/>
      <c r="B39" s="1056"/>
      <c r="C39" s="1059"/>
      <c r="D39" s="1061"/>
      <c r="E39" s="1058"/>
      <c r="G39" s="1045"/>
      <c r="H39" s="1045"/>
      <c r="I39" s="1062"/>
      <c r="J39" s="1046"/>
      <c r="K39" s="1130"/>
      <c r="L39" s="1210"/>
      <c r="M39" s="1043"/>
    </row>
    <row r="40" spans="1:13" ht="12.75" customHeight="1">
      <c r="A40" s="1047"/>
      <c r="B40" s="1056"/>
      <c r="C40" s="1059"/>
      <c r="D40" s="1061" t="s">
        <v>1346</v>
      </c>
      <c r="E40" s="1058"/>
      <c r="G40" s="1045"/>
      <c r="H40" s="1045"/>
      <c r="I40" s="1062"/>
      <c r="J40" s="1046"/>
      <c r="K40" s="1130"/>
      <c r="L40" s="1210"/>
      <c r="M40" s="1043"/>
    </row>
    <row r="41" spans="1:13" ht="12.75" customHeight="1">
      <c r="A41" s="1047"/>
      <c r="B41" s="1056"/>
      <c r="C41" s="1059"/>
      <c r="D41" s="1061"/>
      <c r="E41" s="1058"/>
      <c r="G41" s="1045"/>
      <c r="H41" s="1045"/>
      <c r="I41" s="1062"/>
      <c r="J41" s="1046"/>
      <c r="K41" s="1130"/>
      <c r="L41" s="1210"/>
      <c r="M41" s="1043"/>
    </row>
    <row r="42" spans="1:13" ht="12.75" customHeight="1">
      <c r="A42" s="1047">
        <v>5.8</v>
      </c>
      <c r="B42" s="1056"/>
      <c r="C42" s="1059"/>
      <c r="D42" s="1069" t="s">
        <v>1347</v>
      </c>
      <c r="E42" s="1058"/>
      <c r="G42" s="1045"/>
      <c r="H42" s="1045"/>
      <c r="I42" s="1062" t="s">
        <v>473</v>
      </c>
      <c r="J42" s="1046">
        <v>2</v>
      </c>
      <c r="K42" s="1130"/>
      <c r="L42" s="1210"/>
      <c r="M42" s="1043"/>
    </row>
    <row r="43" spans="1:13" ht="12.75" customHeight="1">
      <c r="A43" s="1047"/>
      <c r="B43" s="1056"/>
      <c r="C43" s="1059"/>
      <c r="D43" s="1060"/>
      <c r="E43" s="1058"/>
      <c r="G43" s="1045"/>
      <c r="H43" s="1045"/>
      <c r="I43" s="1062"/>
      <c r="J43" s="1046"/>
      <c r="K43" s="1130"/>
      <c r="L43" s="1210"/>
      <c r="M43" s="1043"/>
    </row>
    <row r="44" spans="1:13" ht="12.75" customHeight="1">
      <c r="A44" s="1047"/>
      <c r="B44" s="1052" t="s">
        <v>1198</v>
      </c>
      <c r="C44" s="1051" t="s">
        <v>1309</v>
      </c>
      <c r="D44" s="1069"/>
      <c r="E44" s="1058"/>
      <c r="G44" s="1045"/>
      <c r="H44" s="1045"/>
      <c r="I44" s="1062"/>
      <c r="J44" s="1046"/>
      <c r="K44" s="1130"/>
      <c r="L44" s="1210"/>
      <c r="M44" s="1043"/>
    </row>
    <row r="45" spans="1:13" ht="12.75" customHeight="1">
      <c r="A45" s="1047"/>
      <c r="B45" s="1056"/>
      <c r="C45" s="1051"/>
      <c r="D45" s="1069"/>
      <c r="E45" s="1058"/>
      <c r="G45" s="1045"/>
      <c r="H45" s="1045"/>
      <c r="I45" s="1062"/>
      <c r="J45" s="1046"/>
      <c r="K45" s="1130"/>
      <c r="L45" s="1210"/>
      <c r="M45" s="1043"/>
    </row>
    <row r="46" spans="1:13" ht="17.25" customHeight="1">
      <c r="A46" s="1047"/>
      <c r="B46" s="1056"/>
      <c r="C46" s="1051"/>
      <c r="D46" s="1133" t="s">
        <v>1310</v>
      </c>
      <c r="E46" s="1058"/>
      <c r="G46" s="1045"/>
      <c r="H46" s="1045"/>
      <c r="I46" s="1062"/>
      <c r="J46" s="1046"/>
      <c r="K46" s="1130"/>
      <c r="L46" s="1210"/>
      <c r="M46" s="1043"/>
    </row>
    <row r="47" spans="1:13" ht="12.75" customHeight="1">
      <c r="A47" s="1047">
        <f>A36+0.1</f>
        <v>5.6999999999999993</v>
      </c>
      <c r="B47" s="1056"/>
      <c r="C47" s="1059"/>
      <c r="D47" s="1069" t="s">
        <v>1180</v>
      </c>
      <c r="E47" s="1058" t="s">
        <v>1199</v>
      </c>
      <c r="G47" s="1045"/>
      <c r="H47" s="1045"/>
      <c r="I47" s="1062" t="s">
        <v>1301</v>
      </c>
      <c r="J47" s="1046">
        <v>120</v>
      </c>
      <c r="K47" s="1130"/>
      <c r="L47" s="1210"/>
      <c r="M47" s="1043"/>
    </row>
    <row r="48" spans="1:13" ht="12.75" customHeight="1">
      <c r="A48" s="1047"/>
      <c r="B48" s="1056"/>
      <c r="C48" s="1059"/>
      <c r="D48" s="1069"/>
      <c r="E48" s="1058"/>
      <c r="G48" s="1045"/>
      <c r="H48" s="1045"/>
      <c r="I48" s="1062"/>
      <c r="J48" s="1046"/>
      <c r="K48" s="1130"/>
      <c r="L48" s="1210"/>
      <c r="M48" s="1043"/>
    </row>
    <row r="49" spans="1:13" ht="12.75" customHeight="1">
      <c r="A49" s="1047">
        <f>A47+0.1</f>
        <v>5.7999999999999989</v>
      </c>
      <c r="B49" s="1056"/>
      <c r="C49" s="1059"/>
      <c r="D49" s="1058" t="s">
        <v>1195</v>
      </c>
      <c r="E49" s="1058" t="s">
        <v>1311</v>
      </c>
      <c r="G49" s="1045"/>
      <c r="H49" s="1045"/>
      <c r="I49" s="1062" t="s">
        <v>1301</v>
      </c>
      <c r="J49" s="1046">
        <v>20</v>
      </c>
      <c r="K49" s="1130"/>
      <c r="L49" s="1210"/>
      <c r="M49" s="1043"/>
    </row>
    <row r="50" spans="1:13" ht="12.75" customHeight="1">
      <c r="A50" s="1047"/>
      <c r="B50" s="1056"/>
      <c r="C50" s="1059"/>
      <c r="D50" s="1058"/>
      <c r="E50" s="1058"/>
      <c r="G50" s="1045"/>
      <c r="H50" s="1045"/>
      <c r="I50" s="1062"/>
      <c r="J50" s="1046"/>
      <c r="K50" s="1130"/>
      <c r="L50" s="1210"/>
      <c r="M50" s="1043"/>
    </row>
    <row r="51" spans="1:13" ht="12.75" customHeight="1">
      <c r="A51" s="1047">
        <v>5.9</v>
      </c>
      <c r="B51" s="1056"/>
      <c r="C51" s="1059"/>
      <c r="D51" s="1058" t="s">
        <v>1244</v>
      </c>
      <c r="E51" s="1058" t="s">
        <v>1348</v>
      </c>
      <c r="G51" s="1045"/>
      <c r="H51" s="1045"/>
      <c r="I51" s="1062" t="s">
        <v>1301</v>
      </c>
      <c r="J51" s="1046">
        <v>10</v>
      </c>
      <c r="K51" s="1130"/>
      <c r="L51" s="1210"/>
      <c r="M51" s="1043"/>
    </row>
    <row r="52" spans="1:13" ht="12.75" customHeight="1">
      <c r="A52" s="1047"/>
      <c r="B52" s="1056"/>
      <c r="C52" s="1059"/>
      <c r="D52" s="1058"/>
      <c r="E52" s="1058"/>
      <c r="G52" s="1045"/>
      <c r="H52" s="1045"/>
      <c r="I52" s="1062"/>
      <c r="J52" s="1046"/>
      <c r="K52" s="1130"/>
      <c r="L52" s="1210"/>
      <c r="M52" s="1043"/>
    </row>
    <row r="53" spans="1:13" ht="12.75" customHeight="1">
      <c r="A53" s="1232" t="s">
        <v>1357</v>
      </c>
      <c r="B53" s="1056"/>
      <c r="C53" s="1059"/>
      <c r="D53" s="1058" t="s">
        <v>1324</v>
      </c>
      <c r="E53" s="1058" t="s">
        <v>1349</v>
      </c>
      <c r="G53" s="1045"/>
      <c r="H53" s="1045"/>
      <c r="I53" s="1062" t="s">
        <v>60</v>
      </c>
      <c r="J53" s="1046">
        <v>3</v>
      </c>
      <c r="K53" s="1130"/>
      <c r="L53" s="1210"/>
      <c r="M53" s="1043"/>
    </row>
    <row r="54" spans="1:13" ht="12.75" customHeight="1">
      <c r="A54" s="1047"/>
      <c r="B54" s="1056"/>
      <c r="C54" s="1059"/>
      <c r="D54" s="1060"/>
      <c r="E54" s="1058"/>
      <c r="G54" s="1045"/>
      <c r="H54" s="1045"/>
      <c r="I54" s="1062"/>
      <c r="J54" s="1046"/>
      <c r="K54" s="1130"/>
      <c r="L54" s="1210"/>
      <c r="M54" s="1043"/>
    </row>
    <row r="55" spans="1:13" ht="12.75" customHeight="1">
      <c r="A55" s="1047"/>
      <c r="B55" s="1056"/>
      <c r="C55" s="1059"/>
      <c r="D55" s="1134" t="s">
        <v>1312</v>
      </c>
      <c r="E55" s="1058"/>
      <c r="G55" s="1045"/>
      <c r="H55" s="1045"/>
      <c r="I55" s="1062"/>
      <c r="J55" s="1046"/>
      <c r="K55" s="1130"/>
      <c r="L55" s="1210"/>
      <c r="M55" s="1043"/>
    </row>
    <row r="56" spans="1:13" ht="12.75" customHeight="1">
      <c r="A56" s="1047">
        <v>5.1100000000000003</v>
      </c>
      <c r="B56" s="1056"/>
      <c r="C56" s="1059"/>
      <c r="D56" s="1066" t="s">
        <v>1180</v>
      </c>
      <c r="E56" s="1058" t="s">
        <v>1341</v>
      </c>
      <c r="G56" s="1045"/>
      <c r="H56" s="1045"/>
      <c r="I56" s="1062" t="s">
        <v>1301</v>
      </c>
      <c r="J56" s="1046">
        <v>50</v>
      </c>
      <c r="K56" s="1130"/>
      <c r="L56" s="1210"/>
      <c r="M56" s="1043"/>
    </row>
    <row r="57" spans="1:13" ht="12.75" customHeight="1">
      <c r="A57" s="1047"/>
      <c r="B57" s="1056"/>
      <c r="C57" s="1059"/>
      <c r="D57" s="1060"/>
      <c r="E57" s="1058"/>
      <c r="G57" s="1045"/>
      <c r="H57" s="1045"/>
      <c r="I57" s="1062"/>
      <c r="J57" s="1046"/>
      <c r="K57" s="1130"/>
      <c r="L57" s="1210"/>
      <c r="M57" s="1043"/>
    </row>
    <row r="58" spans="1:13" ht="12.75" customHeight="1">
      <c r="A58" s="1047"/>
      <c r="B58" s="1056"/>
      <c r="C58" s="1059"/>
      <c r="D58" s="1066" t="s">
        <v>1313</v>
      </c>
      <c r="E58" s="1058"/>
      <c r="G58" s="1045"/>
      <c r="H58" s="1045"/>
      <c r="I58" s="1062"/>
      <c r="J58" s="1046"/>
      <c r="K58" s="1130"/>
      <c r="L58" s="1210"/>
      <c r="M58" s="1043"/>
    </row>
    <row r="59" spans="1:13" ht="12.75" customHeight="1">
      <c r="A59" s="1047">
        <v>5.12</v>
      </c>
      <c r="B59" s="1056"/>
      <c r="C59" s="1059"/>
      <c r="D59" s="1061" t="s">
        <v>1294</v>
      </c>
      <c r="E59" s="1058" t="s">
        <v>1194</v>
      </c>
      <c r="G59" s="1045"/>
      <c r="H59" s="1045"/>
      <c r="I59" s="1062" t="s">
        <v>1301</v>
      </c>
      <c r="J59" s="1046">
        <v>25</v>
      </c>
      <c r="K59" s="1130"/>
      <c r="L59" s="1210"/>
      <c r="M59" s="1043"/>
    </row>
    <row r="60" spans="1:13" ht="12.75" customHeight="1">
      <c r="A60" s="1047"/>
      <c r="B60" s="1056"/>
      <c r="C60" s="1051"/>
      <c r="D60" s="1069"/>
      <c r="E60" s="1058"/>
      <c r="G60" s="1045"/>
      <c r="H60" s="1045"/>
      <c r="I60" s="1062"/>
      <c r="J60" s="1046"/>
      <c r="K60" s="1130"/>
      <c r="L60" s="1210"/>
      <c r="M60" s="1043"/>
    </row>
    <row r="61" spans="1:13" ht="12.75" customHeight="1">
      <c r="A61" s="1047"/>
      <c r="B61" s="1052" t="s">
        <v>866</v>
      </c>
      <c r="C61" s="1051" t="s">
        <v>1200</v>
      </c>
      <c r="D61" s="1069"/>
      <c r="E61" s="1058"/>
      <c r="G61" s="1045"/>
      <c r="H61" s="1045"/>
      <c r="I61" s="1062"/>
      <c r="J61" s="1046"/>
      <c r="K61" s="1130"/>
      <c r="L61" s="1210"/>
      <c r="M61" s="1043"/>
    </row>
    <row r="62" spans="1:13" ht="12.75" customHeight="1">
      <c r="A62" s="1047"/>
      <c r="B62" s="1056"/>
      <c r="C62" s="1057"/>
      <c r="D62" s="1069"/>
      <c r="E62" s="1058"/>
      <c r="G62" s="1045"/>
      <c r="H62" s="1045"/>
      <c r="I62" s="1062"/>
      <c r="J62" s="1046"/>
      <c r="K62" s="1130"/>
      <c r="L62" s="1210"/>
      <c r="M62" s="1043"/>
    </row>
    <row r="63" spans="1:13" ht="12.75" customHeight="1">
      <c r="A63" s="1070">
        <v>5.13</v>
      </c>
      <c r="B63" s="1052"/>
      <c r="C63" s="1053"/>
      <c r="D63" s="1058" t="s">
        <v>1201</v>
      </c>
      <c r="E63" s="1054"/>
      <c r="G63" s="1045"/>
      <c r="H63" s="1045"/>
      <c r="I63" s="1062" t="s">
        <v>136</v>
      </c>
      <c r="J63" s="1046">
        <v>320</v>
      </c>
      <c r="K63" s="1130"/>
      <c r="L63" s="1210"/>
      <c r="M63" s="1043"/>
    </row>
    <row r="64" spans="1:13" ht="12.75" customHeight="1">
      <c r="A64" s="1047"/>
      <c r="B64" s="1052"/>
      <c r="C64" s="1059"/>
      <c r="D64" s="1058"/>
      <c r="E64" s="1058"/>
      <c r="G64" s="1045"/>
      <c r="H64" s="1045"/>
      <c r="I64" s="1062"/>
      <c r="J64" s="1046"/>
      <c r="K64" s="1130"/>
      <c r="L64" s="1210"/>
      <c r="M64" s="1043"/>
    </row>
    <row r="65" spans="1:13" ht="12.75" customHeight="1">
      <c r="A65" s="1070">
        <v>5.14</v>
      </c>
      <c r="B65" s="1056"/>
      <c r="C65" s="1059"/>
      <c r="D65" s="1058" t="s">
        <v>1202</v>
      </c>
      <c r="E65" s="1054"/>
      <c r="G65" s="1045"/>
      <c r="H65" s="1045"/>
      <c r="I65" s="1062" t="s">
        <v>136</v>
      </c>
      <c r="J65" s="1071">
        <f>(12*12)+(9*4)</f>
        <v>180</v>
      </c>
      <c r="K65" s="1130"/>
      <c r="L65" s="1210"/>
      <c r="M65" s="1043"/>
    </row>
    <row r="66" spans="1:13" ht="12.75" customHeight="1">
      <c r="A66" s="1047"/>
      <c r="B66" s="1056"/>
      <c r="C66" s="1059"/>
      <c r="D66" s="1058"/>
      <c r="E66" s="1054"/>
      <c r="G66" s="1045"/>
      <c r="H66" s="1045"/>
      <c r="I66" s="1062"/>
      <c r="J66" s="1071"/>
      <c r="K66" s="1130"/>
      <c r="L66" s="1210"/>
      <c r="M66" s="1043"/>
    </row>
    <row r="67" spans="1:13" ht="12.75" customHeight="1">
      <c r="A67" s="1047"/>
      <c r="B67" s="1072"/>
      <c r="C67" s="1073" t="s">
        <v>1203</v>
      </c>
      <c r="D67" s="1058"/>
      <c r="E67" s="1058"/>
      <c r="F67" s="1058"/>
      <c r="G67" s="1045"/>
      <c r="H67" s="1045"/>
      <c r="I67" s="1062"/>
      <c r="J67" s="1046"/>
      <c r="K67" s="1223"/>
      <c r="L67" s="1213"/>
      <c r="M67" s="1043"/>
    </row>
    <row r="68" spans="1:13" ht="12.75" customHeight="1">
      <c r="A68" s="1047"/>
      <c r="B68" s="1072"/>
      <c r="C68" s="1051"/>
      <c r="D68" s="1058"/>
      <c r="E68" s="1058"/>
      <c r="F68" s="1058"/>
      <c r="G68" s="1045"/>
      <c r="H68" s="1045"/>
      <c r="I68" s="1062"/>
      <c r="J68" s="1046"/>
      <c r="K68" s="1223"/>
      <c r="L68" s="1213"/>
      <c r="M68" s="1043"/>
    </row>
    <row r="69" spans="1:13" ht="12.75" customHeight="1">
      <c r="A69" s="1047"/>
      <c r="B69" s="1072"/>
      <c r="C69" s="1054" t="s">
        <v>1325</v>
      </c>
      <c r="D69" s="1054"/>
      <c r="E69" s="1075"/>
      <c r="F69" s="1075"/>
      <c r="G69" s="1045"/>
      <c r="H69" s="1045"/>
      <c r="I69" s="1062"/>
      <c r="J69" s="1046"/>
      <c r="K69" s="1223"/>
      <c r="L69" s="1213"/>
      <c r="M69" s="1043"/>
    </row>
    <row r="70" spans="1:13" ht="12.75" customHeight="1">
      <c r="A70" s="1047"/>
      <c r="B70" s="1072"/>
      <c r="C70" s="1076" t="s">
        <v>1204</v>
      </c>
      <c r="D70" s="1076"/>
      <c r="E70" s="1058"/>
      <c r="F70" s="1058"/>
      <c r="G70" s="1045"/>
      <c r="H70" s="1045"/>
      <c r="I70" s="1062"/>
      <c r="J70" s="1046"/>
      <c r="K70" s="1223"/>
      <c r="L70" s="1213"/>
      <c r="M70" s="1043"/>
    </row>
    <row r="71" spans="1:13" ht="12.75" customHeight="1">
      <c r="A71" s="1047"/>
      <c r="B71" s="1072"/>
      <c r="C71" s="1054" t="s">
        <v>1205</v>
      </c>
      <c r="D71" s="1054"/>
      <c r="E71" s="1058"/>
      <c r="F71" s="1058"/>
      <c r="G71" s="1045"/>
      <c r="H71" s="1045"/>
      <c r="I71" s="1062"/>
      <c r="J71" s="1046"/>
      <c r="K71" s="1223"/>
      <c r="L71" s="1213"/>
      <c r="M71" s="1043"/>
    </row>
    <row r="72" spans="1:13" ht="12.75" customHeight="1">
      <c r="A72" s="1047"/>
      <c r="B72" s="1072"/>
      <c r="C72" s="1054" t="s">
        <v>1206</v>
      </c>
      <c r="D72" s="1054"/>
      <c r="E72" s="1058"/>
      <c r="F72" s="1058"/>
      <c r="G72" s="1045"/>
      <c r="H72" s="1045"/>
      <c r="I72" s="1062"/>
      <c r="J72" s="1046"/>
      <c r="K72" s="1223"/>
      <c r="L72" s="1213"/>
      <c r="M72" s="1043"/>
    </row>
    <row r="73" spans="1:13" ht="12.75" customHeight="1">
      <c r="A73" s="1047"/>
      <c r="B73" s="1072"/>
      <c r="C73" s="1074"/>
      <c r="D73" s="1054"/>
      <c r="E73" s="1058"/>
      <c r="F73" s="1058"/>
      <c r="G73" s="1045"/>
      <c r="H73" s="1045"/>
      <c r="I73" s="1062"/>
      <c r="J73" s="1046"/>
      <c r="K73" s="1223"/>
      <c r="L73" s="1213"/>
      <c r="M73" s="1043"/>
    </row>
    <row r="74" spans="1:13" ht="12.75" customHeight="1">
      <c r="A74" s="1070"/>
      <c r="B74" s="1072" t="s">
        <v>16</v>
      </c>
      <c r="C74" s="1059" t="s">
        <v>1180</v>
      </c>
      <c r="D74" s="1061" t="s">
        <v>1185</v>
      </c>
      <c r="E74" s="1054" t="s">
        <v>1207</v>
      </c>
      <c r="F74" s="1058"/>
      <c r="G74" s="1045"/>
      <c r="H74" s="1045"/>
      <c r="I74" s="1062"/>
      <c r="J74" s="1046"/>
      <c r="K74" s="1223"/>
      <c r="L74" s="1213"/>
      <c r="M74" s="1043"/>
    </row>
    <row r="75" spans="1:13" ht="12.75" customHeight="1">
      <c r="A75" s="1047"/>
      <c r="B75" s="1072"/>
      <c r="C75" s="1074"/>
      <c r="D75" s="1069"/>
      <c r="E75" s="1060"/>
      <c r="F75" s="1058"/>
      <c r="G75" s="1045"/>
      <c r="H75" s="1045"/>
      <c r="I75" s="1062"/>
      <c r="J75" s="1046"/>
      <c r="K75" s="1223"/>
      <c r="L75" s="1213"/>
      <c r="M75" s="1043"/>
    </row>
    <row r="76" spans="1:13" ht="12.75" customHeight="1">
      <c r="A76" s="1070">
        <f>A65+0.01</f>
        <v>5.1499999999999995</v>
      </c>
      <c r="B76" s="1072"/>
      <c r="C76" s="1074"/>
      <c r="D76" s="1069"/>
      <c r="E76" s="1061" t="s">
        <v>1182</v>
      </c>
      <c r="F76" s="1058" t="s">
        <v>1208</v>
      </c>
      <c r="G76" s="1045"/>
      <c r="H76" s="1045"/>
      <c r="I76" s="1062" t="s">
        <v>60</v>
      </c>
      <c r="J76" s="1071">
        <v>320</v>
      </c>
      <c r="K76" s="1223"/>
      <c r="L76" s="1210"/>
      <c r="M76" s="1043"/>
    </row>
    <row r="77" spans="1:13" ht="12.75" customHeight="1">
      <c r="A77" s="1047"/>
      <c r="B77" s="1072"/>
      <c r="C77" s="1074"/>
      <c r="D77" s="1069"/>
      <c r="E77" s="1060"/>
      <c r="F77" s="1058"/>
      <c r="G77" s="1045"/>
      <c r="H77" s="1045"/>
      <c r="I77" s="1062"/>
      <c r="J77" s="1071"/>
      <c r="K77" s="1223"/>
      <c r="L77" s="1213"/>
      <c r="M77" s="1043"/>
    </row>
    <row r="78" spans="1:13" ht="12.75" customHeight="1">
      <c r="A78" s="1070">
        <f>A76+0.01</f>
        <v>5.1599999999999993</v>
      </c>
      <c r="B78" s="1072"/>
      <c r="C78" s="1074"/>
      <c r="D78" s="1069"/>
      <c r="E78" s="1061" t="s">
        <v>1185</v>
      </c>
      <c r="F78" s="1058" t="s">
        <v>1209</v>
      </c>
      <c r="G78" s="1045"/>
      <c r="H78" s="1045"/>
      <c r="I78" s="1062" t="s">
        <v>60</v>
      </c>
      <c r="J78" s="1071">
        <v>110</v>
      </c>
      <c r="K78" s="1223"/>
      <c r="L78" s="1210"/>
      <c r="M78" s="1043"/>
    </row>
    <row r="79" spans="1:13" ht="12.75" customHeight="1">
      <c r="A79" s="1047"/>
      <c r="B79" s="1072"/>
      <c r="C79" s="1074"/>
      <c r="D79" s="1069"/>
      <c r="E79" s="1060"/>
      <c r="F79" s="1058"/>
      <c r="G79" s="1045"/>
      <c r="H79" s="1045"/>
      <c r="I79" s="1062"/>
      <c r="J79" s="1071"/>
      <c r="K79" s="1223"/>
      <c r="L79" s="1213"/>
      <c r="M79" s="1043"/>
    </row>
    <row r="80" spans="1:13" ht="12.75" customHeight="1">
      <c r="A80" s="1047"/>
      <c r="B80" s="1072" t="s">
        <v>16</v>
      </c>
      <c r="C80" s="1059" t="s">
        <v>1195</v>
      </c>
      <c r="D80" s="1054" t="s">
        <v>1210</v>
      </c>
      <c r="E80" s="1058"/>
      <c r="F80" s="1058"/>
      <c r="G80" s="1045"/>
      <c r="H80" s="1045"/>
      <c r="I80" s="1062"/>
      <c r="J80" s="1046"/>
      <c r="K80" s="1223"/>
      <c r="L80" s="1213"/>
      <c r="M80" s="1043"/>
    </row>
    <row r="81" spans="1:13" ht="12.75" customHeight="1">
      <c r="A81" s="1047"/>
      <c r="B81" s="1072"/>
      <c r="C81" s="1074"/>
      <c r="D81" s="1060"/>
      <c r="E81" s="1058"/>
      <c r="F81" s="1058"/>
      <c r="G81" s="1045"/>
      <c r="H81" s="1045"/>
      <c r="I81" s="1062"/>
      <c r="J81" s="1046"/>
      <c r="K81" s="1223"/>
      <c r="L81" s="1213"/>
      <c r="M81" s="1043"/>
    </row>
    <row r="82" spans="1:13" ht="12.75" customHeight="1">
      <c r="A82" s="1070">
        <f>A78+0.01</f>
        <v>5.169999999999999</v>
      </c>
      <c r="B82" s="1072"/>
      <c r="C82" s="1074"/>
      <c r="D82" s="1061" t="s">
        <v>1182</v>
      </c>
      <c r="E82" s="1058" t="s">
        <v>1211</v>
      </c>
      <c r="F82" s="1058"/>
      <c r="G82" s="1045"/>
      <c r="H82" s="1045"/>
      <c r="I82" s="1062" t="s">
        <v>60</v>
      </c>
      <c r="J82" s="1071">
        <v>50</v>
      </c>
      <c r="K82" s="1224"/>
      <c r="L82" s="1210"/>
      <c r="M82" s="1043"/>
    </row>
    <row r="83" spans="1:13" ht="12.75" customHeight="1">
      <c r="A83" s="1047"/>
      <c r="B83" s="1072"/>
      <c r="C83" s="1074"/>
      <c r="D83" s="1058"/>
      <c r="E83" s="1058"/>
      <c r="F83" s="1058"/>
      <c r="G83" s="1045"/>
      <c r="H83" s="1045"/>
      <c r="I83" s="1062"/>
      <c r="J83" s="1046"/>
      <c r="K83" s="1223"/>
      <c r="L83" s="1213"/>
      <c r="M83" s="1043"/>
    </row>
    <row r="84" spans="1:13" ht="12.75" customHeight="1">
      <c r="A84" s="1047"/>
      <c r="B84" s="1072"/>
      <c r="C84" s="1074" t="s">
        <v>1197</v>
      </c>
      <c r="D84" s="1058" t="s">
        <v>1210</v>
      </c>
      <c r="E84" s="1058"/>
      <c r="F84" s="1058"/>
      <c r="G84" s="1045"/>
      <c r="H84" s="1045"/>
      <c r="I84" s="1062"/>
      <c r="J84" s="1046"/>
      <c r="K84" s="1223"/>
      <c r="L84" s="1213"/>
      <c r="M84" s="1043"/>
    </row>
    <row r="85" spans="1:13" ht="12.75" customHeight="1">
      <c r="A85" s="1047"/>
      <c r="B85" s="1072"/>
      <c r="C85" s="1074"/>
      <c r="D85" s="1058"/>
      <c r="E85" s="1058"/>
      <c r="F85" s="1058"/>
      <c r="G85" s="1045"/>
      <c r="H85" s="1045"/>
      <c r="I85" s="1062"/>
      <c r="J85" s="1046"/>
      <c r="K85" s="1223"/>
      <c r="L85" s="1213"/>
      <c r="M85" s="1043"/>
    </row>
    <row r="86" spans="1:13" ht="12.75" customHeight="1">
      <c r="A86" s="1046">
        <v>5.18</v>
      </c>
      <c r="B86" s="1046"/>
      <c r="C86" s="1043"/>
      <c r="D86" s="1107" t="s">
        <v>1358</v>
      </c>
      <c r="G86" s="1045"/>
      <c r="H86" s="1045"/>
      <c r="I86" s="1062" t="s">
        <v>60</v>
      </c>
      <c r="J86" s="1046">
        <v>150</v>
      </c>
      <c r="K86" s="1223"/>
      <c r="L86" s="1210"/>
      <c r="M86" s="1043"/>
    </row>
    <row r="87" spans="1:13" ht="12.75" customHeight="1">
      <c r="A87" s="1047"/>
      <c r="B87" s="1056"/>
      <c r="C87" s="1059"/>
      <c r="D87" s="1058"/>
      <c r="E87" s="1054"/>
      <c r="G87" s="1045"/>
      <c r="H87" s="1045"/>
      <c r="I87" s="1062"/>
      <c r="J87" s="1071"/>
      <c r="K87" s="1130"/>
      <c r="L87" s="1210"/>
      <c r="M87" s="1043"/>
    </row>
    <row r="88" spans="1:13" ht="12.75" customHeight="1">
      <c r="A88" s="1047"/>
      <c r="B88" s="1056"/>
      <c r="C88" s="1059"/>
      <c r="D88" s="1058"/>
      <c r="E88" s="1054"/>
      <c r="G88" s="1045"/>
      <c r="H88" s="1045"/>
      <c r="I88" s="1062"/>
      <c r="J88" s="1071"/>
      <c r="K88" s="1130"/>
      <c r="L88" s="1210"/>
      <c r="M88" s="1043"/>
    </row>
    <row r="89" spans="1:13" ht="40.5" customHeight="1">
      <c r="A89" s="2181" t="s">
        <v>48</v>
      </c>
      <c r="B89" s="2182"/>
      <c r="C89" s="2182"/>
      <c r="D89" s="2182"/>
      <c r="E89" s="2182"/>
      <c r="F89" s="2182"/>
      <c r="G89" s="2182"/>
      <c r="H89" s="2182"/>
      <c r="I89" s="2182"/>
      <c r="J89" s="2182"/>
      <c r="K89" s="2183"/>
      <c r="L89" s="1214"/>
      <c r="M89" s="1043"/>
    </row>
    <row r="90" spans="1:13" ht="12.75" customHeight="1">
      <c r="A90" s="1077"/>
      <c r="B90" s="1078"/>
      <c r="C90" s="1079"/>
      <c r="D90" s="1079"/>
      <c r="E90" s="1079"/>
      <c r="F90" s="1079"/>
      <c r="G90" s="1079"/>
      <c r="H90" s="1079"/>
      <c r="I90" s="1079"/>
      <c r="J90" s="1200"/>
      <c r="K90" s="1225"/>
      <c r="L90" s="1215"/>
    </row>
    <row r="91" spans="1:13" ht="12.75" customHeight="1">
      <c r="A91" s="1233" t="s">
        <v>971</v>
      </c>
      <c r="B91" s="1037"/>
      <c r="C91" s="1037"/>
      <c r="D91" s="1037"/>
      <c r="E91" s="1037"/>
      <c r="F91" s="1037"/>
      <c r="G91" s="1037"/>
      <c r="H91" s="1037"/>
      <c r="I91" s="1037"/>
      <c r="J91" s="1198"/>
    </row>
    <row r="92" spans="1:13" ht="12.75" customHeight="1">
      <c r="A92" s="1233" t="str">
        <f>+A2</f>
        <v>CONTRACT NUMBER: GLM015/2025</v>
      </c>
      <c r="B92" s="1037"/>
      <c r="C92" s="1037"/>
      <c r="D92" s="1037"/>
      <c r="E92" s="1037"/>
      <c r="F92" s="1037"/>
      <c r="G92" s="1037"/>
      <c r="H92" s="1037"/>
      <c r="I92" s="1037"/>
      <c r="J92" s="1198"/>
    </row>
    <row r="93" spans="1:13" ht="12.75" customHeight="1">
      <c r="A93" s="1233" t="str">
        <f>+A3</f>
        <v>CONSTRUCTION OF MAPHALLE LANDFILL SITE PH2</v>
      </c>
      <c r="B93" s="1039"/>
      <c r="C93" s="1039"/>
      <c r="D93" s="1039"/>
      <c r="E93" s="1039"/>
      <c r="F93" s="1039"/>
      <c r="G93" s="1039"/>
      <c r="H93" s="1039"/>
      <c r="I93" s="1039"/>
      <c r="J93" s="1199"/>
    </row>
    <row r="94" spans="1:13" ht="12.75" customHeight="1">
      <c r="A94" s="1233"/>
      <c r="B94" s="1039"/>
      <c r="C94" s="1039"/>
      <c r="D94" s="1039"/>
      <c r="E94" s="1039"/>
      <c r="F94" s="1039"/>
      <c r="G94" s="1039"/>
      <c r="H94" s="1039"/>
      <c r="I94" s="1039"/>
      <c r="J94" s="1199"/>
    </row>
    <row r="95" spans="1:13" ht="12.75" customHeight="1">
      <c r="A95" s="1252" t="s">
        <v>1305</v>
      </c>
      <c r="B95" s="1251"/>
      <c r="C95" s="1251"/>
      <c r="D95" s="1253"/>
      <c r="E95" s="1253"/>
      <c r="F95" s="1253"/>
      <c r="G95" s="1253"/>
      <c r="H95" s="1253"/>
      <c r="I95" s="1253"/>
      <c r="J95" s="1254"/>
      <c r="K95" s="1255"/>
    </row>
    <row r="96" spans="1:13" ht="12.75" customHeight="1">
      <c r="A96" s="1197"/>
      <c r="B96" s="1080"/>
      <c r="C96" s="1080"/>
      <c r="D96" s="1080"/>
      <c r="E96" s="1080"/>
      <c r="F96" s="1080"/>
      <c r="G96" s="1080"/>
      <c r="H96" s="1080"/>
      <c r="I96" s="1080"/>
      <c r="J96" s="1201"/>
      <c r="K96" s="1226"/>
      <c r="L96" s="1216"/>
    </row>
    <row r="97" spans="1:14" s="1041" customFormat="1" ht="12.75" customHeight="1">
      <c r="A97" s="2157" t="s">
        <v>111</v>
      </c>
      <c r="B97" s="2157" t="s">
        <v>112</v>
      </c>
      <c r="C97" s="2159" t="s">
        <v>2</v>
      </c>
      <c r="D97" s="2159"/>
      <c r="E97" s="2159"/>
      <c r="F97" s="2159"/>
      <c r="G97" s="2159"/>
      <c r="H97" s="1099" t="s">
        <v>882</v>
      </c>
      <c r="I97" s="2159" t="s">
        <v>3</v>
      </c>
      <c r="J97" s="2161" t="s">
        <v>564</v>
      </c>
      <c r="K97" s="2149" t="s">
        <v>5</v>
      </c>
      <c r="L97" s="1208" t="s">
        <v>565</v>
      </c>
    </row>
    <row r="98" spans="1:14" s="1041" customFormat="1" ht="18.75" customHeight="1">
      <c r="A98" s="2158"/>
      <c r="B98" s="2158"/>
      <c r="C98" s="2160"/>
      <c r="D98" s="2160"/>
      <c r="E98" s="2160"/>
      <c r="F98" s="2160"/>
      <c r="G98" s="2160"/>
      <c r="H98" s="1100" t="s">
        <v>883</v>
      </c>
      <c r="I98" s="2160"/>
      <c r="J98" s="2162"/>
      <c r="K98" s="2150"/>
      <c r="L98" s="1209" t="s">
        <v>6</v>
      </c>
    </row>
    <row r="99" spans="1:14" ht="12.75" customHeight="1">
      <c r="A99" s="1047"/>
      <c r="B99" s="1082" t="s">
        <v>1212</v>
      </c>
      <c r="C99" s="1059"/>
      <c r="D99" s="1060"/>
      <c r="E99" s="1060"/>
      <c r="F99" s="1060"/>
      <c r="G99" s="1060"/>
      <c r="H99" s="1047"/>
      <c r="I99" s="1047"/>
      <c r="J99" s="1047"/>
      <c r="K99" s="1131"/>
      <c r="L99" s="1210"/>
    </row>
    <row r="100" spans="1:14" ht="12.75" customHeight="1">
      <c r="A100" s="1055">
        <f>F100</f>
        <v>6</v>
      </c>
      <c r="B100" s="1082" t="s">
        <v>1213</v>
      </c>
      <c r="C100" s="1048" t="s">
        <v>1175</v>
      </c>
      <c r="D100" s="1049"/>
      <c r="E100" s="1049"/>
      <c r="F100" s="1050">
        <f>F10+1</f>
        <v>6</v>
      </c>
      <c r="G100" s="1060"/>
      <c r="H100" s="1047"/>
      <c r="I100" s="1047"/>
      <c r="J100" s="1047"/>
      <c r="K100" s="1131"/>
      <c r="L100" s="1210"/>
    </row>
    <row r="101" spans="1:14" ht="12.75" customHeight="1">
      <c r="A101" s="1047"/>
      <c r="B101" s="1082"/>
      <c r="C101" s="1073" t="s">
        <v>1304</v>
      </c>
      <c r="D101" s="1058"/>
      <c r="E101" s="1058"/>
      <c r="H101" s="1097"/>
      <c r="I101" s="1062"/>
      <c r="J101" s="1046"/>
      <c r="K101" s="1130"/>
      <c r="L101" s="1210"/>
    </row>
    <row r="102" spans="1:14" ht="39" customHeight="1">
      <c r="A102" s="1047"/>
      <c r="B102" s="1082"/>
      <c r="C102" s="2163" t="s">
        <v>1214</v>
      </c>
      <c r="D102" s="2164"/>
      <c r="E102" s="2164"/>
      <c r="F102" s="2164"/>
      <c r="G102" s="2164"/>
      <c r="H102" s="1104"/>
      <c r="I102" s="1062"/>
      <c r="J102" s="1046"/>
      <c r="K102" s="1130"/>
      <c r="L102" s="1210"/>
    </row>
    <row r="103" spans="1:14" ht="12.75" customHeight="1">
      <c r="A103" s="1047"/>
      <c r="B103" s="1072"/>
      <c r="C103" s="1057"/>
      <c r="D103" s="1058"/>
      <c r="E103" s="1058"/>
      <c r="H103" s="1097"/>
      <c r="I103" s="1062"/>
      <c r="J103" s="1046"/>
      <c r="K103" s="1130"/>
      <c r="L103" s="1210"/>
    </row>
    <row r="104" spans="1:14" ht="27.75" customHeight="1">
      <c r="A104" s="1152"/>
      <c r="B104" s="1153"/>
      <c r="C104" s="2188" t="s">
        <v>1320</v>
      </c>
      <c r="D104" s="2189"/>
      <c r="E104" s="2189"/>
      <c r="F104" s="2189"/>
      <c r="G104" s="2190"/>
      <c r="H104" s="1147"/>
      <c r="I104" s="1137"/>
      <c r="J104" s="1138"/>
      <c r="K104" s="1185"/>
      <c r="L104" s="1211"/>
    </row>
    <row r="105" spans="1:14" ht="12.75" customHeight="1">
      <c r="A105" s="1152"/>
      <c r="B105" s="1139"/>
      <c r="C105" s="1154"/>
      <c r="D105" s="1146"/>
      <c r="E105" s="1146"/>
      <c r="F105" s="1141"/>
      <c r="G105" s="1147"/>
      <c r="H105" s="1147"/>
      <c r="I105" s="1137"/>
      <c r="J105" s="1138"/>
      <c r="K105" s="1185"/>
      <c r="L105" s="1211"/>
    </row>
    <row r="106" spans="1:14" ht="12.75" customHeight="1">
      <c r="A106" s="1152"/>
      <c r="B106" s="1139"/>
      <c r="C106" s="1155" t="s">
        <v>1215</v>
      </c>
      <c r="D106" s="1146"/>
      <c r="E106" s="1146"/>
      <c r="F106" s="1141"/>
      <c r="G106" s="1147"/>
      <c r="H106" s="1147"/>
      <c r="I106" s="1137"/>
      <c r="J106" s="1138"/>
      <c r="K106" s="1185"/>
      <c r="L106" s="1211"/>
    </row>
    <row r="107" spans="1:14" ht="12.75" customHeight="1">
      <c r="A107" s="1152"/>
      <c r="B107" s="1139"/>
      <c r="C107" s="1156"/>
      <c r="D107" s="1146"/>
      <c r="E107" s="1146"/>
      <c r="F107" s="1141"/>
      <c r="G107" s="1147"/>
      <c r="H107" s="1147"/>
      <c r="I107" s="1137"/>
      <c r="J107" s="1138"/>
      <c r="K107" s="1185"/>
      <c r="L107" s="1211"/>
    </row>
    <row r="108" spans="1:14" ht="27.75" customHeight="1">
      <c r="A108" s="1152"/>
      <c r="B108" s="1139"/>
      <c r="C108" s="2178" t="s">
        <v>1216</v>
      </c>
      <c r="D108" s="2179"/>
      <c r="E108" s="2179"/>
      <c r="F108" s="2179"/>
      <c r="G108" s="2180"/>
      <c r="H108" s="1157"/>
      <c r="I108" s="1137"/>
      <c r="J108" s="1138"/>
      <c r="K108" s="1185"/>
      <c r="L108" s="1211"/>
    </row>
    <row r="109" spans="1:14" ht="12.75" customHeight="1">
      <c r="A109" s="1152"/>
      <c r="B109" s="1139" t="s">
        <v>1217</v>
      </c>
      <c r="C109" s="1144"/>
      <c r="D109" s="1158" t="s">
        <v>1218</v>
      </c>
      <c r="E109" s="1146"/>
      <c r="F109" s="1141"/>
      <c r="G109" s="1147"/>
      <c r="H109" s="1147"/>
      <c r="I109" s="1137"/>
      <c r="J109" s="1138"/>
      <c r="K109" s="1185"/>
      <c r="L109" s="1211"/>
    </row>
    <row r="110" spans="1:14" ht="12.75" customHeight="1">
      <c r="A110" s="1152"/>
      <c r="B110" s="1139"/>
      <c r="C110" s="1144"/>
      <c r="D110" s="1146"/>
      <c r="E110" s="1146"/>
      <c r="F110" s="1141"/>
      <c r="G110" s="1147"/>
      <c r="H110" s="1147"/>
      <c r="I110" s="1137"/>
      <c r="J110" s="1138"/>
      <c r="K110" s="1185"/>
      <c r="L110" s="1211"/>
    </row>
    <row r="111" spans="1:14" ht="12.75" customHeight="1">
      <c r="A111" s="1152">
        <f>A100+0.1</f>
        <v>6.1</v>
      </c>
      <c r="B111" s="1139"/>
      <c r="C111" s="1144"/>
      <c r="D111" s="1146" t="s">
        <v>1180</v>
      </c>
      <c r="E111" s="1146" t="s">
        <v>1219</v>
      </c>
      <c r="F111" s="1141"/>
      <c r="G111" s="1147"/>
      <c r="H111" s="1147"/>
      <c r="I111" s="1137" t="s">
        <v>877</v>
      </c>
      <c r="J111" s="1138">
        <v>200</v>
      </c>
      <c r="K111" s="1185"/>
      <c r="L111" s="1211"/>
      <c r="N111" s="1038" t="s">
        <v>1314</v>
      </c>
    </row>
    <row r="112" spans="1:14" ht="12.75" customHeight="1">
      <c r="A112" s="1152"/>
      <c r="B112" s="1139"/>
      <c r="C112" s="1144"/>
      <c r="D112" s="1146"/>
      <c r="E112" s="1146"/>
      <c r="F112" s="1141"/>
      <c r="G112" s="1147"/>
      <c r="H112" s="1147"/>
      <c r="I112" s="1137"/>
      <c r="J112" s="1138"/>
      <c r="K112" s="1185"/>
      <c r="L112" s="1211"/>
    </row>
    <row r="113" spans="1:12" ht="12.75" customHeight="1">
      <c r="A113" s="1152">
        <f>A111+0.1</f>
        <v>6.1999999999999993</v>
      </c>
      <c r="B113" s="1139"/>
      <c r="C113" s="1144"/>
      <c r="D113" s="1146" t="s">
        <v>1195</v>
      </c>
      <c r="E113" s="1146" t="s">
        <v>1220</v>
      </c>
      <c r="F113" s="1141"/>
      <c r="G113" s="1147"/>
      <c r="H113" s="1147"/>
      <c r="I113" s="1137" t="s">
        <v>877</v>
      </c>
      <c r="J113" s="1138">
        <v>600</v>
      </c>
      <c r="K113" s="1185"/>
      <c r="L113" s="1211"/>
    </row>
    <row r="114" spans="1:12" ht="12.75" customHeight="1">
      <c r="A114" s="1152"/>
      <c r="B114" s="1139"/>
      <c r="C114" s="1144"/>
      <c r="D114" s="1146"/>
      <c r="E114" s="1146"/>
      <c r="F114" s="1141"/>
      <c r="G114" s="1147"/>
      <c r="H114" s="1147"/>
      <c r="I114" s="1137"/>
      <c r="J114" s="1138"/>
      <c r="K114" s="1185"/>
      <c r="L114" s="1211"/>
    </row>
    <row r="115" spans="1:12" ht="12.75" customHeight="1">
      <c r="A115" s="1152"/>
      <c r="B115" s="1139"/>
      <c r="C115" s="1144"/>
      <c r="D115" s="1158" t="s">
        <v>1223</v>
      </c>
      <c r="E115" s="1146"/>
      <c r="F115" s="1141"/>
      <c r="G115" s="1147"/>
      <c r="H115" s="1147"/>
      <c r="I115" s="1137"/>
      <c r="J115" s="1138"/>
      <c r="K115" s="1185"/>
      <c r="L115" s="1211"/>
    </row>
    <row r="116" spans="1:12" ht="12.75" customHeight="1">
      <c r="A116" s="1152"/>
      <c r="B116" s="1139"/>
      <c r="C116" s="1144"/>
      <c r="D116" s="1146"/>
      <c r="E116" s="1146"/>
      <c r="F116" s="1141"/>
      <c r="G116" s="1147"/>
      <c r="H116" s="1147"/>
      <c r="I116" s="1137"/>
      <c r="J116" s="1138"/>
      <c r="K116" s="1185"/>
      <c r="L116" s="1211"/>
    </row>
    <row r="117" spans="1:12" ht="12.75" customHeight="1">
      <c r="A117" s="1152">
        <v>6.3</v>
      </c>
      <c r="B117" s="1139"/>
      <c r="C117" s="1144"/>
      <c r="D117" s="1146" t="s">
        <v>1180</v>
      </c>
      <c r="E117" s="1146" t="s">
        <v>1219</v>
      </c>
      <c r="F117" s="1141"/>
      <c r="G117" s="1147"/>
      <c r="H117" s="1147"/>
      <c r="I117" s="1137" t="s">
        <v>877</v>
      </c>
      <c r="J117" s="1138">
        <v>120</v>
      </c>
      <c r="K117" s="1185"/>
      <c r="L117" s="1211"/>
    </row>
    <row r="118" spans="1:12" ht="12.75" customHeight="1">
      <c r="A118" s="1152"/>
      <c r="B118" s="1139"/>
      <c r="C118" s="1144"/>
      <c r="D118" s="1146"/>
      <c r="E118" s="1146"/>
      <c r="F118" s="1141"/>
      <c r="G118" s="1147"/>
      <c r="H118" s="1147"/>
      <c r="I118" s="1137"/>
      <c r="J118" s="1138"/>
      <c r="K118" s="1185"/>
      <c r="L118" s="1211"/>
    </row>
    <row r="119" spans="1:12" ht="12.75" customHeight="1">
      <c r="A119" s="1152">
        <f>A117+0.1</f>
        <v>6.3999999999999995</v>
      </c>
      <c r="B119" s="1139"/>
      <c r="C119" s="1144"/>
      <c r="D119" s="1146" t="s">
        <v>1195</v>
      </c>
      <c r="E119" s="1146" t="s">
        <v>1220</v>
      </c>
      <c r="F119" s="1141"/>
      <c r="G119" s="1147"/>
      <c r="H119" s="1147"/>
      <c r="I119" s="1137" t="s">
        <v>877</v>
      </c>
      <c r="J119" s="1138">
        <v>300</v>
      </c>
      <c r="K119" s="1185"/>
      <c r="L119" s="1211"/>
    </row>
    <row r="120" spans="1:12" ht="12.75" customHeight="1">
      <c r="A120" s="1152"/>
      <c r="B120" s="1139"/>
      <c r="C120" s="1144"/>
      <c r="D120" s="1146"/>
      <c r="E120" s="1146"/>
      <c r="F120" s="1141"/>
      <c r="G120" s="1147"/>
      <c r="H120" s="1147"/>
      <c r="I120" s="1137"/>
      <c r="J120" s="1138"/>
      <c r="K120" s="1185"/>
      <c r="L120" s="1211"/>
    </row>
    <row r="121" spans="1:12" ht="12.75" customHeight="1">
      <c r="A121" s="1152"/>
      <c r="B121" s="1139"/>
      <c r="C121" s="1144"/>
      <c r="D121" s="1158" t="s">
        <v>1224</v>
      </c>
      <c r="E121" s="1146"/>
      <c r="F121" s="1141"/>
      <c r="G121" s="1147"/>
      <c r="H121" s="1147"/>
      <c r="I121" s="1137"/>
      <c r="J121" s="1138"/>
      <c r="K121" s="1185"/>
      <c r="L121" s="1211"/>
    </row>
    <row r="122" spans="1:12" ht="12.75" customHeight="1">
      <c r="A122" s="1152">
        <v>6.5</v>
      </c>
      <c r="B122" s="1139"/>
      <c r="C122" s="1144"/>
      <c r="D122" s="1146" t="s">
        <v>1180</v>
      </c>
      <c r="E122" s="1146" t="s">
        <v>1219</v>
      </c>
      <c r="F122" s="1141"/>
      <c r="G122" s="1147"/>
      <c r="H122" s="1147"/>
      <c r="I122" s="1137" t="s">
        <v>877</v>
      </c>
      <c r="J122" s="1138">
        <f>J117/2</f>
        <v>60</v>
      </c>
      <c r="K122" s="1185"/>
      <c r="L122" s="1211"/>
    </row>
    <row r="123" spans="1:12" ht="12.75" customHeight="1">
      <c r="A123" s="1152"/>
      <c r="B123" s="1139"/>
      <c r="C123" s="1144"/>
      <c r="D123" s="1146"/>
      <c r="E123" s="1146"/>
      <c r="F123" s="1141"/>
      <c r="G123" s="1147"/>
      <c r="H123" s="1147"/>
      <c r="I123" s="1137"/>
      <c r="J123" s="1138"/>
      <c r="K123" s="1185"/>
      <c r="L123" s="1211"/>
    </row>
    <row r="124" spans="1:12" ht="12.75" customHeight="1">
      <c r="A124" s="1234">
        <v>6.6</v>
      </c>
      <c r="B124" s="1139"/>
      <c r="C124" s="1144"/>
      <c r="D124" s="1146" t="s">
        <v>1195</v>
      </c>
      <c r="E124" s="1146" t="s">
        <v>1322</v>
      </c>
      <c r="F124" s="1141"/>
      <c r="G124" s="1147"/>
      <c r="H124" s="1147"/>
      <c r="I124" s="1137" t="s">
        <v>877</v>
      </c>
      <c r="J124" s="1138">
        <f>J119*0.5</f>
        <v>150</v>
      </c>
      <c r="K124" s="1185"/>
      <c r="L124" s="1211"/>
    </row>
    <row r="125" spans="1:12" ht="12.75" customHeight="1">
      <c r="A125" s="1152"/>
      <c r="B125" s="1139"/>
      <c r="C125" s="1144"/>
      <c r="D125" s="1146"/>
      <c r="E125" s="1146"/>
      <c r="F125" s="1141"/>
      <c r="G125" s="1147"/>
      <c r="H125" s="1147"/>
      <c r="I125" s="1137"/>
      <c r="J125" s="1138"/>
      <c r="K125" s="1185"/>
      <c r="L125" s="1211"/>
    </row>
    <row r="126" spans="1:12" ht="12.75" customHeight="1">
      <c r="A126" s="1152"/>
      <c r="B126" s="1139"/>
      <c r="C126" s="1144"/>
      <c r="D126" s="1146"/>
      <c r="E126" s="1146"/>
      <c r="F126" s="1141"/>
      <c r="G126" s="1147"/>
      <c r="H126" s="1147"/>
      <c r="I126" s="1137"/>
      <c r="J126" s="1138"/>
      <c r="K126" s="1185"/>
      <c r="L126" s="1211"/>
    </row>
    <row r="127" spans="1:12" ht="12.75" customHeight="1">
      <c r="A127" s="1152"/>
      <c r="B127" s="1139"/>
      <c r="C127" s="1144"/>
      <c r="D127" s="1158" t="s">
        <v>1225</v>
      </c>
      <c r="E127" s="1146"/>
      <c r="F127" s="1141"/>
      <c r="G127" s="1147"/>
      <c r="H127" s="1147"/>
      <c r="I127" s="1137"/>
      <c r="J127" s="1138"/>
      <c r="K127" s="1185"/>
      <c r="L127" s="1211"/>
    </row>
    <row r="128" spans="1:12" ht="12.75" customHeight="1">
      <c r="A128" s="1152"/>
      <c r="B128" s="1139"/>
      <c r="C128" s="1144"/>
      <c r="D128" s="1146"/>
      <c r="E128" s="1146"/>
      <c r="F128" s="1141"/>
      <c r="G128" s="1147"/>
      <c r="H128" s="1147"/>
      <c r="I128" s="1137"/>
      <c r="J128" s="1138"/>
      <c r="K128" s="1185"/>
      <c r="L128" s="1211"/>
    </row>
    <row r="129" spans="1:12" ht="23.25" customHeight="1">
      <c r="A129" s="1137">
        <v>6.7</v>
      </c>
      <c r="B129" s="1139"/>
      <c r="C129" s="1140"/>
      <c r="D129" s="1141" t="s">
        <v>1180</v>
      </c>
      <c r="E129" s="2173" t="s">
        <v>293</v>
      </c>
      <c r="F129" s="2173"/>
      <c r="G129" s="2174"/>
      <c r="H129" s="1136"/>
      <c r="I129" s="1137" t="s">
        <v>136</v>
      </c>
      <c r="J129" s="1138">
        <v>350</v>
      </c>
      <c r="K129" s="1185"/>
      <c r="L129" s="1211"/>
    </row>
    <row r="130" spans="1:12" ht="24.75" customHeight="1">
      <c r="A130" s="1137">
        <v>6.8</v>
      </c>
      <c r="B130" s="1139"/>
      <c r="C130" s="1140"/>
      <c r="D130" s="1159" t="s">
        <v>1350</v>
      </c>
      <c r="E130" s="2173" t="s">
        <v>294</v>
      </c>
      <c r="F130" s="2173"/>
      <c r="G130" s="2174"/>
      <c r="H130" s="1136"/>
      <c r="I130" s="1137" t="s">
        <v>136</v>
      </c>
      <c r="J130" s="1138">
        <v>800</v>
      </c>
      <c r="K130" s="1185"/>
      <c r="L130" s="1211"/>
    </row>
    <row r="131" spans="1:12" ht="30.75" customHeight="1">
      <c r="A131" s="1137">
        <v>6.9</v>
      </c>
      <c r="B131" s="1139"/>
      <c r="C131" s="1140"/>
      <c r="D131" s="1141" t="s">
        <v>1221</v>
      </c>
      <c r="E131" s="2173" t="s">
        <v>1227</v>
      </c>
      <c r="F131" s="2173"/>
      <c r="G131" s="2174"/>
      <c r="H131" s="1136"/>
      <c r="I131" s="1137" t="s">
        <v>136</v>
      </c>
      <c r="J131" s="1138">
        <v>80</v>
      </c>
      <c r="K131" s="1185"/>
      <c r="L131" s="1211"/>
    </row>
    <row r="132" spans="1:12" ht="30" customHeight="1">
      <c r="A132" s="1235" t="s">
        <v>1359</v>
      </c>
      <c r="B132" s="1139"/>
      <c r="C132" s="1140"/>
      <c r="D132" s="1141" t="s">
        <v>1222</v>
      </c>
      <c r="E132" s="2173" t="s">
        <v>1323</v>
      </c>
      <c r="F132" s="2173"/>
      <c r="G132" s="2174"/>
      <c r="H132" s="1136"/>
      <c r="I132" s="1137" t="s">
        <v>138</v>
      </c>
      <c r="J132" s="1138">
        <v>40</v>
      </c>
      <c r="K132" s="1185"/>
      <c r="L132" s="1211"/>
    </row>
    <row r="133" spans="1:12" ht="18" customHeight="1">
      <c r="A133" s="1137"/>
      <c r="B133" s="1139"/>
      <c r="C133" s="1140"/>
      <c r="D133" s="1141"/>
      <c r="E133" s="1142"/>
      <c r="F133" s="1142"/>
      <c r="G133" s="1136"/>
      <c r="H133" s="1136"/>
      <c r="I133" s="1137"/>
      <c r="J133" s="1138"/>
      <c r="K133" s="1185"/>
      <c r="L133" s="1211"/>
    </row>
    <row r="134" spans="1:12" ht="28.5" customHeight="1">
      <c r="A134" s="1137">
        <v>6.11</v>
      </c>
      <c r="B134" s="1139"/>
      <c r="C134" s="1140"/>
      <c r="D134" s="1141" t="s">
        <v>1351</v>
      </c>
      <c r="E134" s="2173" t="s">
        <v>1323</v>
      </c>
      <c r="F134" s="2173"/>
      <c r="G134" s="2174"/>
      <c r="H134" s="1136"/>
      <c r="I134" s="1137" t="s">
        <v>138</v>
      </c>
      <c r="J134" s="1138">
        <v>30</v>
      </c>
      <c r="K134" s="1185"/>
      <c r="L134" s="1211"/>
    </row>
    <row r="135" spans="1:12" ht="14.25" customHeight="1">
      <c r="A135" s="1137"/>
      <c r="B135" s="1139"/>
      <c r="C135" s="1140"/>
      <c r="D135" s="1141"/>
      <c r="E135" s="1142"/>
      <c r="F135" s="1142"/>
      <c r="G135" s="1136"/>
      <c r="H135" s="1136"/>
      <c r="I135" s="1137"/>
      <c r="J135" s="1138"/>
      <c r="K135" s="1185"/>
      <c r="L135" s="1211"/>
    </row>
    <row r="136" spans="1:12" ht="27" customHeight="1">
      <c r="A136" s="1160">
        <v>6.12</v>
      </c>
      <c r="B136" s="1139"/>
      <c r="C136" s="1140"/>
      <c r="D136" s="1141" t="s">
        <v>1226</v>
      </c>
      <c r="E136" s="2173" t="s">
        <v>1228</v>
      </c>
      <c r="F136" s="2173"/>
      <c r="G136" s="2174"/>
      <c r="H136" s="1136"/>
      <c r="I136" s="1137" t="s">
        <v>138</v>
      </c>
      <c r="J136" s="1138">
        <v>80</v>
      </c>
      <c r="K136" s="1185"/>
      <c r="L136" s="1211"/>
    </row>
    <row r="137" spans="1:12" ht="12.75" customHeight="1">
      <c r="A137" s="1152"/>
      <c r="B137" s="1139"/>
      <c r="C137" s="1144"/>
      <c r="D137" s="1146"/>
      <c r="E137" s="1146"/>
      <c r="F137" s="1141"/>
      <c r="G137" s="1147"/>
      <c r="H137" s="1147"/>
      <c r="I137" s="1137"/>
      <c r="J137" s="1138"/>
      <c r="K137" s="1185"/>
      <c r="L137" s="1211"/>
    </row>
    <row r="138" spans="1:12" ht="12.75" customHeight="1">
      <c r="A138" s="1152"/>
      <c r="B138" s="1139"/>
      <c r="C138" s="2191" t="s">
        <v>1229</v>
      </c>
      <c r="D138" s="2192"/>
      <c r="E138" s="2192"/>
      <c r="F138" s="2192"/>
      <c r="G138" s="2193"/>
      <c r="H138" s="1147"/>
      <c r="I138" s="1137"/>
      <c r="J138" s="1138"/>
      <c r="K138" s="1185"/>
      <c r="L138" s="1211"/>
    </row>
    <row r="139" spans="1:12" ht="12.75" customHeight="1">
      <c r="A139" s="1152"/>
      <c r="B139" s="1139"/>
      <c r="C139" s="1144"/>
      <c r="D139" s="1146"/>
      <c r="E139" s="1146"/>
      <c r="F139" s="1141"/>
      <c r="G139" s="1147"/>
      <c r="H139" s="1147"/>
      <c r="I139" s="1137"/>
      <c r="J139" s="1138"/>
      <c r="K139" s="1185"/>
      <c r="L139" s="1211"/>
    </row>
    <row r="140" spans="1:12" ht="37.5" customHeight="1">
      <c r="A140" s="1152"/>
      <c r="B140" s="1139"/>
      <c r="C140" s="2178" t="s">
        <v>1230</v>
      </c>
      <c r="D140" s="2179"/>
      <c r="E140" s="2179"/>
      <c r="F140" s="2179"/>
      <c r="G140" s="2180"/>
      <c r="H140" s="1161"/>
      <c r="I140" s="1137"/>
      <c r="J140" s="1138"/>
      <c r="K140" s="1185"/>
      <c r="L140" s="1211"/>
    </row>
    <row r="141" spans="1:12" ht="20.25" customHeight="1">
      <c r="A141" s="1152">
        <v>6.13</v>
      </c>
      <c r="B141" s="1139"/>
      <c r="C141" s="1144"/>
      <c r="D141" s="1146" t="s">
        <v>1180</v>
      </c>
      <c r="E141" s="1146" t="s">
        <v>1231</v>
      </c>
      <c r="F141" s="1141"/>
      <c r="G141" s="1147"/>
      <c r="H141" s="1147"/>
      <c r="I141" s="1137" t="s">
        <v>877</v>
      </c>
      <c r="J141" s="1138">
        <v>300</v>
      </c>
      <c r="K141" s="1185"/>
      <c r="L141" s="1211"/>
    </row>
    <row r="142" spans="1:12" ht="20.25" customHeight="1">
      <c r="A142" s="1152"/>
      <c r="B142" s="1139"/>
      <c r="C142" s="1144"/>
      <c r="D142" s="1146"/>
      <c r="E142" s="1146"/>
      <c r="F142" s="1141"/>
      <c r="G142" s="1147"/>
      <c r="H142" s="1147"/>
      <c r="I142" s="1137"/>
      <c r="J142" s="1138"/>
      <c r="K142" s="1185"/>
      <c r="L142" s="1211"/>
    </row>
    <row r="143" spans="1:12" ht="26.25" customHeight="1">
      <c r="A143" s="1152">
        <v>6.14</v>
      </c>
      <c r="B143" s="1139"/>
      <c r="C143" s="1144"/>
      <c r="D143" s="1146" t="s">
        <v>1195</v>
      </c>
      <c r="E143" s="1146" t="s">
        <v>1232</v>
      </c>
      <c r="F143" s="1141"/>
      <c r="G143" s="1147"/>
      <c r="H143" s="1147"/>
      <c r="I143" s="1137" t="s">
        <v>877</v>
      </c>
      <c r="J143" s="1138">
        <v>150</v>
      </c>
      <c r="K143" s="1185"/>
      <c r="L143" s="1211"/>
    </row>
    <row r="144" spans="1:12" ht="13.5" customHeight="1">
      <c r="A144" s="1152"/>
      <c r="B144" s="1139"/>
      <c r="C144" s="1144"/>
      <c r="D144" s="1146"/>
      <c r="E144" s="1146"/>
      <c r="F144" s="1141"/>
      <c r="G144" s="1147"/>
      <c r="H144" s="1147"/>
      <c r="I144" s="1137"/>
      <c r="J144" s="1138"/>
      <c r="K144" s="1185"/>
      <c r="L144" s="1211"/>
    </row>
    <row r="145" spans="1:12" ht="25.5" customHeight="1">
      <c r="A145" s="1152">
        <v>6.15</v>
      </c>
      <c r="B145" s="1139"/>
      <c r="C145" s="1144"/>
      <c r="D145" s="1146" t="s">
        <v>1233</v>
      </c>
      <c r="E145" s="1146" t="s">
        <v>1234</v>
      </c>
      <c r="F145" s="1141"/>
      <c r="G145" s="1147"/>
      <c r="H145" s="1147"/>
      <c r="I145" s="1137" t="s">
        <v>877</v>
      </c>
      <c r="J145" s="1138">
        <v>150</v>
      </c>
      <c r="K145" s="1185"/>
      <c r="L145" s="1211"/>
    </row>
    <row r="146" spans="1:12" ht="32.25" customHeight="1">
      <c r="A146" s="1152"/>
      <c r="B146" s="1139"/>
      <c r="C146" s="2178" t="s">
        <v>1235</v>
      </c>
      <c r="D146" s="2179"/>
      <c r="E146" s="2179"/>
      <c r="F146" s="2179"/>
      <c r="G146" s="2180"/>
      <c r="H146" s="1161"/>
      <c r="I146" s="1138"/>
      <c r="J146" s="1138"/>
      <c r="K146" s="1185"/>
      <c r="L146" s="1211"/>
    </row>
    <row r="147" spans="1:12" ht="16.5" customHeight="1">
      <c r="A147" s="1152"/>
      <c r="B147" s="1139"/>
      <c r="C147" s="1236"/>
      <c r="D147" s="1165"/>
      <c r="E147" s="1165"/>
      <c r="F147" s="1165"/>
      <c r="G147" s="1161"/>
      <c r="H147" s="1161"/>
      <c r="I147" s="1138"/>
      <c r="J147" s="1138"/>
      <c r="K147" s="1185"/>
      <c r="L147" s="1211"/>
    </row>
    <row r="148" spans="1:12" ht="12.75" customHeight="1">
      <c r="A148" s="1152">
        <v>6.16</v>
      </c>
      <c r="B148" s="1139"/>
      <c r="C148" s="1144"/>
      <c r="D148" s="1146" t="s">
        <v>1180</v>
      </c>
      <c r="E148" s="1146" t="s">
        <v>1236</v>
      </c>
      <c r="F148" s="1141"/>
      <c r="G148" s="1147"/>
      <c r="H148" s="1147"/>
      <c r="I148" s="1137" t="s">
        <v>877</v>
      </c>
      <c r="J148" s="1138">
        <v>800</v>
      </c>
      <c r="K148" s="1185"/>
      <c r="L148" s="1211"/>
    </row>
    <row r="149" spans="1:12" ht="12.75" customHeight="1">
      <c r="A149" s="1152"/>
      <c r="B149" s="1139"/>
      <c r="C149" s="1144"/>
      <c r="D149" s="1146"/>
      <c r="E149" s="1146"/>
      <c r="F149" s="1141"/>
      <c r="G149" s="1147"/>
      <c r="H149" s="1141"/>
      <c r="I149" s="1137"/>
      <c r="J149" s="1162"/>
      <c r="K149" s="1185"/>
      <c r="L149" s="1211"/>
    </row>
    <row r="150" spans="1:12" ht="12.75" customHeight="1">
      <c r="A150" s="1152"/>
      <c r="B150" s="1139"/>
      <c r="C150" s="1144"/>
      <c r="D150" s="1158" t="s">
        <v>1237</v>
      </c>
      <c r="E150" s="1146"/>
      <c r="F150" s="1141"/>
      <c r="G150" s="1147"/>
      <c r="H150" s="1141"/>
      <c r="I150" s="1137"/>
      <c r="J150" s="1162"/>
      <c r="K150" s="1185"/>
      <c r="L150" s="1211"/>
    </row>
    <row r="151" spans="1:12" ht="12.75" customHeight="1">
      <c r="A151" s="1152"/>
      <c r="B151" s="1139"/>
      <c r="C151" s="1144"/>
      <c r="D151" s="1146"/>
      <c r="E151" s="1146"/>
      <c r="F151" s="1141"/>
      <c r="G151" s="1147"/>
      <c r="H151" s="1141"/>
      <c r="I151" s="1137"/>
      <c r="J151" s="1162"/>
      <c r="K151" s="1185"/>
      <c r="L151" s="1211"/>
    </row>
    <row r="152" spans="1:12" ht="12.75" customHeight="1">
      <c r="A152" s="1152"/>
      <c r="B152" s="1139"/>
      <c r="C152" s="1144"/>
      <c r="D152" s="1146" t="s">
        <v>1180</v>
      </c>
      <c r="E152" s="1146" t="s">
        <v>1238</v>
      </c>
      <c r="F152" s="1141"/>
      <c r="G152" s="1147"/>
      <c r="H152" s="1141"/>
      <c r="I152" s="1137"/>
      <c r="J152" s="1162"/>
      <c r="K152" s="1185"/>
      <c r="L152" s="1211"/>
    </row>
    <row r="153" spans="1:12" ht="12.75" customHeight="1">
      <c r="A153" s="1152">
        <v>6.17</v>
      </c>
      <c r="B153" s="1139"/>
      <c r="C153" s="1144"/>
      <c r="D153" s="1146"/>
      <c r="E153" s="1163" t="s">
        <v>1182</v>
      </c>
      <c r="F153" s="1141" t="s">
        <v>1239</v>
      </c>
      <c r="G153" s="1147"/>
      <c r="H153" s="1141"/>
      <c r="I153" s="1137" t="s">
        <v>136</v>
      </c>
      <c r="J153" s="1162">
        <f>(2.1*2+0.8)*4*2</f>
        <v>40</v>
      </c>
      <c r="K153" s="1185"/>
      <c r="L153" s="1211"/>
    </row>
    <row r="154" spans="1:12" ht="12.75" customHeight="1">
      <c r="A154" s="1152"/>
      <c r="B154" s="1139"/>
      <c r="C154" s="1144"/>
      <c r="D154" s="1146"/>
      <c r="E154" s="1163"/>
      <c r="F154" s="1141"/>
      <c r="G154" s="1147"/>
      <c r="H154" s="1141"/>
      <c r="I154" s="1137"/>
      <c r="J154" s="1162"/>
      <c r="K154" s="1185"/>
      <c r="L154" s="1211"/>
    </row>
    <row r="155" spans="1:12" ht="12.75" customHeight="1">
      <c r="A155" s="1152">
        <v>6.18</v>
      </c>
      <c r="B155" s="1139"/>
      <c r="C155" s="1144"/>
      <c r="D155" s="1146"/>
      <c r="E155" s="1163" t="s">
        <v>1185</v>
      </c>
      <c r="F155" s="1141" t="s">
        <v>1240</v>
      </c>
      <c r="G155" s="1147"/>
      <c r="H155" s="1141"/>
      <c r="I155" s="1137" t="s">
        <v>136</v>
      </c>
      <c r="J155" s="1164">
        <v>200</v>
      </c>
      <c r="K155" s="1185"/>
      <c r="L155" s="1211"/>
    </row>
    <row r="156" spans="1:12" ht="12.75" customHeight="1">
      <c r="A156" s="1152"/>
      <c r="B156" s="1139"/>
      <c r="C156" s="1144"/>
      <c r="D156" s="1146"/>
      <c r="E156" s="1163"/>
      <c r="F156" s="1141"/>
      <c r="G156" s="1147"/>
      <c r="H156" s="1141"/>
      <c r="I156" s="1137"/>
      <c r="J156" s="1162"/>
      <c r="K156" s="1185"/>
      <c r="L156" s="1211"/>
    </row>
    <row r="157" spans="1:12" ht="12.75" customHeight="1">
      <c r="A157" s="1152"/>
      <c r="B157" s="1139"/>
      <c r="C157" s="1144"/>
      <c r="D157" s="1158" t="s">
        <v>1241</v>
      </c>
      <c r="E157" s="1163"/>
      <c r="F157" s="1141"/>
      <c r="G157" s="1147"/>
      <c r="H157" s="1141"/>
      <c r="I157" s="1137"/>
      <c r="J157" s="1162"/>
      <c r="K157" s="1185"/>
      <c r="L157" s="1211"/>
    </row>
    <row r="158" spans="1:12" ht="12.75" customHeight="1">
      <c r="A158" s="1152"/>
      <c r="B158" s="1139"/>
      <c r="C158" s="1144"/>
      <c r="D158" s="1146"/>
      <c r="E158" s="1146"/>
      <c r="F158" s="1141"/>
      <c r="G158" s="1147"/>
      <c r="H158" s="1141"/>
      <c r="I158" s="1138"/>
      <c r="J158" s="1162"/>
      <c r="K158" s="1185"/>
      <c r="L158" s="1211"/>
    </row>
    <row r="159" spans="1:12" ht="31.5" customHeight="1">
      <c r="A159" s="1152">
        <v>6.19</v>
      </c>
      <c r="B159" s="1139"/>
      <c r="C159" s="1144"/>
      <c r="D159" s="1146" t="s">
        <v>1180</v>
      </c>
      <c r="E159" s="2179" t="s">
        <v>1242</v>
      </c>
      <c r="F159" s="2179"/>
      <c r="G159" s="2180"/>
      <c r="H159" s="1165"/>
      <c r="I159" s="1137" t="s">
        <v>877</v>
      </c>
      <c r="J159" s="1162">
        <v>110</v>
      </c>
      <c r="K159" s="1185"/>
      <c r="L159" s="1211"/>
    </row>
    <row r="160" spans="1:12" ht="38.25" customHeight="1">
      <c r="A160" s="1237" t="s">
        <v>1360</v>
      </c>
      <c r="B160" s="1139"/>
      <c r="C160" s="1144"/>
      <c r="D160" s="1146" t="s">
        <v>1195</v>
      </c>
      <c r="E160" s="2173" t="s">
        <v>1243</v>
      </c>
      <c r="F160" s="2173"/>
      <c r="G160" s="2174"/>
      <c r="H160" s="1142"/>
      <c r="I160" s="1137" t="s">
        <v>877</v>
      </c>
      <c r="J160" s="1162">
        <v>120</v>
      </c>
      <c r="K160" s="1185"/>
      <c r="L160" s="1211"/>
    </row>
    <row r="161" spans="1:12" ht="27.75" customHeight="1">
      <c r="A161" s="1144">
        <v>6.21</v>
      </c>
      <c r="B161" s="1153"/>
      <c r="C161" s="1144"/>
      <c r="D161" s="1163" t="s">
        <v>1244</v>
      </c>
      <c r="E161" s="2179" t="s">
        <v>1245</v>
      </c>
      <c r="F161" s="2179"/>
      <c r="G161" s="2179"/>
      <c r="H161" s="1166"/>
      <c r="I161" s="1137" t="s">
        <v>877</v>
      </c>
      <c r="J161" s="1162">
        <v>180</v>
      </c>
      <c r="K161" s="1185"/>
      <c r="L161" s="1211"/>
    </row>
    <row r="162" spans="1:12" ht="18.75" customHeight="1">
      <c r="A162" s="1144"/>
      <c r="B162" s="1153"/>
      <c r="C162" s="1148"/>
      <c r="D162" s="1167" t="s">
        <v>1246</v>
      </c>
      <c r="E162" s="1168"/>
      <c r="F162" s="1165"/>
      <c r="G162" s="1165"/>
      <c r="H162" s="1166"/>
      <c r="I162" s="1138"/>
      <c r="J162" s="1162"/>
      <c r="K162" s="1185"/>
      <c r="L162" s="1211"/>
    </row>
    <row r="163" spans="1:12">
      <c r="A163" s="1169"/>
      <c r="B163" s="1138"/>
      <c r="C163" s="1169">
        <v>1</v>
      </c>
      <c r="D163" s="1170" t="s">
        <v>1247</v>
      </c>
      <c r="E163" s="1141"/>
      <c r="F163" s="1141"/>
      <c r="G163" s="1141"/>
      <c r="H163" s="1171"/>
      <c r="I163" s="1138"/>
      <c r="J163" s="1138"/>
      <c r="K163" s="1185"/>
      <c r="L163" s="1211"/>
    </row>
    <row r="164" spans="1:12" ht="18.75" customHeight="1">
      <c r="A164" s="1144"/>
      <c r="B164" s="1153"/>
      <c r="C164" s="1148"/>
      <c r="D164" s="1163" t="s">
        <v>1248</v>
      </c>
      <c r="E164" s="1168"/>
      <c r="F164" s="1165"/>
      <c r="G164" s="1165"/>
      <c r="H164" s="1166"/>
      <c r="I164" s="1138"/>
      <c r="J164" s="1162"/>
      <c r="K164" s="1185"/>
      <c r="L164" s="1211"/>
    </row>
    <row r="165" spans="1:12" ht="18.75" customHeight="1">
      <c r="A165" s="1172">
        <v>6.22</v>
      </c>
      <c r="B165" s="1153"/>
      <c r="C165" s="1148"/>
      <c r="D165" s="1173" t="s">
        <v>1180</v>
      </c>
      <c r="E165" s="2173" t="s">
        <v>1249</v>
      </c>
      <c r="F165" s="2173"/>
      <c r="G165" s="2173"/>
      <c r="H165" s="1174"/>
      <c r="I165" s="1137" t="s">
        <v>877</v>
      </c>
      <c r="J165" s="1162">
        <v>50</v>
      </c>
      <c r="K165" s="1185"/>
      <c r="L165" s="1211"/>
    </row>
    <row r="166" spans="1:12" ht="18.75" customHeight="1">
      <c r="A166" s="1172"/>
      <c r="B166" s="1153"/>
      <c r="C166" s="1148"/>
      <c r="D166" s="1173"/>
      <c r="E166" s="1142"/>
      <c r="F166" s="1142"/>
      <c r="G166" s="1142"/>
      <c r="H166" s="1174"/>
      <c r="I166" s="1137"/>
      <c r="J166" s="1162"/>
      <c r="K166" s="1185"/>
      <c r="L166" s="1211"/>
    </row>
    <row r="167" spans="1:12" ht="18.75" customHeight="1">
      <c r="A167" s="1144">
        <v>6.23</v>
      </c>
      <c r="B167" s="1238"/>
      <c r="C167" s="1144"/>
      <c r="D167" s="1173" t="s">
        <v>1195</v>
      </c>
      <c r="E167" s="2173" t="s">
        <v>1250</v>
      </c>
      <c r="F167" s="2173"/>
      <c r="G167" s="2173"/>
      <c r="H167" s="1174"/>
      <c r="I167" s="1137" t="s">
        <v>877</v>
      </c>
      <c r="J167" s="1162">
        <v>50</v>
      </c>
      <c r="K167" s="1185"/>
      <c r="L167" s="1211"/>
    </row>
    <row r="168" spans="1:12" ht="27" customHeight="1">
      <c r="A168" s="2181" t="s">
        <v>48</v>
      </c>
      <c r="B168" s="2182"/>
      <c r="C168" s="2182"/>
      <c r="D168" s="2182"/>
      <c r="E168" s="2182"/>
      <c r="F168" s="2182"/>
      <c r="G168" s="2182"/>
      <c r="H168" s="2182"/>
      <c r="I168" s="2182"/>
      <c r="J168" s="2182"/>
      <c r="K168" s="2183"/>
      <c r="L168" s="1214"/>
    </row>
    <row r="169" spans="1:12" ht="20.25" customHeight="1">
      <c r="A169" s="1036" t="s">
        <v>971</v>
      </c>
      <c r="B169" s="1037"/>
      <c r="C169" s="1037"/>
      <c r="D169" s="1037"/>
      <c r="E169" s="1037"/>
      <c r="F169" s="1037"/>
      <c r="G169" s="1037"/>
      <c r="H169" s="1037"/>
      <c r="I169" s="1037"/>
      <c r="J169" s="1198"/>
    </row>
    <row r="170" spans="1:12" ht="12.75" customHeight="1">
      <c r="A170" s="1036" t="str">
        <f>+A92</f>
        <v>CONTRACT NUMBER: GLM015/2025</v>
      </c>
      <c r="B170" s="1037"/>
      <c r="C170" s="1037"/>
      <c r="D170" s="1037"/>
      <c r="E170" s="1037"/>
      <c r="F170" s="1037"/>
      <c r="G170" s="1037"/>
      <c r="H170" s="1037"/>
      <c r="I170" s="1037"/>
      <c r="J170" s="1198"/>
    </row>
    <row r="171" spans="1:12" ht="12.75" customHeight="1">
      <c r="A171" s="1036" t="str">
        <f>+A3</f>
        <v>CONSTRUCTION OF MAPHALLE LANDFILL SITE PH2</v>
      </c>
      <c r="B171" s="1039"/>
      <c r="C171" s="1039"/>
      <c r="D171" s="1039"/>
      <c r="E171" s="1039"/>
      <c r="F171" s="1039"/>
      <c r="G171" s="1039"/>
      <c r="H171" s="1039"/>
      <c r="I171" s="1039"/>
      <c r="J171" s="1199"/>
    </row>
    <row r="172" spans="1:12" ht="12.75" customHeight="1">
      <c r="A172" s="1036"/>
      <c r="B172" s="1039"/>
      <c r="C172" s="1039"/>
      <c r="D172" s="1039"/>
      <c r="E172" s="1039"/>
      <c r="F172" s="1039"/>
      <c r="G172" s="1039"/>
      <c r="H172" s="1039"/>
      <c r="I172" s="1039"/>
      <c r="J172" s="1199"/>
    </row>
    <row r="173" spans="1:12" ht="12.75" customHeight="1">
      <c r="A173" s="1036" t="s">
        <v>1305</v>
      </c>
      <c r="B173" s="1040"/>
      <c r="C173" s="1040"/>
      <c r="D173" s="1039"/>
      <c r="E173" s="1039"/>
      <c r="F173" s="1039"/>
      <c r="G173" s="1039"/>
      <c r="H173" s="1039"/>
      <c r="I173" s="1039"/>
      <c r="J173" s="1199"/>
    </row>
    <row r="174" spans="1:12" ht="12.75" customHeight="1">
      <c r="A174" s="1080"/>
      <c r="B174" s="1080"/>
      <c r="C174" s="1080"/>
      <c r="D174" s="1080"/>
      <c r="E174" s="1080"/>
      <c r="F174" s="1080"/>
      <c r="G174" s="1080"/>
      <c r="H174" s="1080"/>
      <c r="I174" s="1080"/>
      <c r="J174" s="1201"/>
      <c r="K174" s="1226"/>
      <c r="L174" s="1216"/>
    </row>
    <row r="175" spans="1:12" s="1041" customFormat="1" ht="12.75" customHeight="1">
      <c r="A175" s="2157" t="s">
        <v>111</v>
      </c>
      <c r="B175" s="2157" t="s">
        <v>112</v>
      </c>
      <c r="C175" s="2159" t="s">
        <v>2</v>
      </c>
      <c r="D175" s="2159"/>
      <c r="E175" s="2159"/>
      <c r="F175" s="2159"/>
      <c r="G175" s="2159"/>
      <c r="H175" s="1099" t="s">
        <v>882</v>
      </c>
      <c r="I175" s="2159" t="s">
        <v>3</v>
      </c>
      <c r="J175" s="2161" t="s">
        <v>564</v>
      </c>
      <c r="K175" s="2149" t="s">
        <v>5</v>
      </c>
      <c r="L175" s="1208" t="s">
        <v>565</v>
      </c>
    </row>
    <row r="176" spans="1:12" s="1041" customFormat="1" ht="18.75" customHeight="1">
      <c r="A176" s="2158"/>
      <c r="B176" s="2158"/>
      <c r="C176" s="2160"/>
      <c r="D176" s="2160"/>
      <c r="E176" s="2160"/>
      <c r="F176" s="2160"/>
      <c r="G176" s="2160"/>
      <c r="H176" s="1100" t="s">
        <v>883</v>
      </c>
      <c r="I176" s="2160"/>
      <c r="J176" s="2162"/>
      <c r="K176" s="2150"/>
      <c r="L176" s="1209" t="s">
        <v>6</v>
      </c>
    </row>
    <row r="177" spans="1:12" ht="18.75" customHeight="1">
      <c r="A177" s="2175" t="s">
        <v>49</v>
      </c>
      <c r="B177" s="2176"/>
      <c r="C177" s="2176"/>
      <c r="D177" s="2176"/>
      <c r="E177" s="2176"/>
      <c r="F177" s="2176"/>
      <c r="G177" s="2176"/>
      <c r="H177" s="2176"/>
      <c r="I177" s="2176"/>
      <c r="J177" s="2176"/>
      <c r="K177" s="2177"/>
      <c r="L177" s="1218"/>
    </row>
    <row r="178" spans="1:12" ht="12.75" customHeight="1">
      <c r="A178" s="1047"/>
      <c r="B178" s="1082" t="s">
        <v>1212</v>
      </c>
      <c r="C178" s="1059"/>
      <c r="D178" s="1060"/>
      <c r="E178" s="1060"/>
      <c r="F178" s="1060"/>
      <c r="G178" s="1060"/>
      <c r="H178" s="1047"/>
      <c r="I178" s="1047"/>
      <c r="J178" s="1047"/>
      <c r="K178" s="1131"/>
      <c r="L178" s="1210"/>
    </row>
    <row r="179" spans="1:12" ht="12.75" customHeight="1">
      <c r="A179" s="1047">
        <f>F179</f>
        <v>6</v>
      </c>
      <c r="B179" s="1082" t="s">
        <v>1213</v>
      </c>
      <c r="C179" s="1048" t="s">
        <v>1175</v>
      </c>
      <c r="D179" s="1049"/>
      <c r="E179" s="1049"/>
      <c r="F179" s="1050">
        <f>F100</f>
        <v>6</v>
      </c>
      <c r="G179" s="1060"/>
      <c r="H179" s="1047"/>
      <c r="I179" s="1047"/>
      <c r="J179" s="1047"/>
      <c r="K179" s="1131"/>
      <c r="L179" s="1210"/>
    </row>
    <row r="180" spans="1:12" ht="12.75" customHeight="1">
      <c r="A180" s="1047"/>
      <c r="B180" s="1082"/>
      <c r="C180" s="1073" t="s">
        <v>1304</v>
      </c>
      <c r="D180" s="1058"/>
      <c r="E180" s="1058"/>
      <c r="H180" s="1097"/>
      <c r="I180" s="1062"/>
      <c r="J180" s="1046"/>
      <c r="K180" s="1130"/>
      <c r="L180" s="1210"/>
    </row>
    <row r="181" spans="1:12" ht="39" customHeight="1">
      <c r="A181" s="1047"/>
      <c r="B181" s="1082"/>
      <c r="C181" s="2163" t="s">
        <v>1214</v>
      </c>
      <c r="D181" s="2164"/>
      <c r="E181" s="2164"/>
      <c r="F181" s="2164"/>
      <c r="G181" s="2164"/>
      <c r="H181" s="1104"/>
      <c r="I181" s="1062"/>
      <c r="J181" s="1046"/>
      <c r="K181" s="1130"/>
      <c r="L181" s="1210"/>
    </row>
    <row r="182" spans="1:12" ht="39" customHeight="1">
      <c r="A182" s="1047"/>
      <c r="B182" s="1056"/>
      <c r="C182" s="2154" t="s">
        <v>1378</v>
      </c>
      <c r="D182" s="2155"/>
      <c r="E182" s="2155"/>
      <c r="F182" s="2155"/>
      <c r="G182" s="2156"/>
      <c r="H182" s="1104"/>
      <c r="I182" s="1062"/>
      <c r="J182" s="1042"/>
      <c r="K182" s="1130"/>
      <c r="L182" s="1210"/>
    </row>
    <row r="183" spans="1:12" ht="18" customHeight="1">
      <c r="A183" s="1047"/>
      <c r="B183" s="1056"/>
      <c r="C183" s="1102"/>
      <c r="D183" s="1103"/>
      <c r="E183" s="1103"/>
      <c r="F183" s="1103"/>
      <c r="G183" s="1103"/>
      <c r="H183" s="1104"/>
      <c r="I183" s="1062"/>
      <c r="J183" s="1042"/>
      <c r="K183" s="1130"/>
      <c r="L183" s="1210"/>
    </row>
    <row r="184" spans="1:12" ht="18.75" customHeight="1">
      <c r="A184" s="1152"/>
      <c r="B184" s="1139"/>
      <c r="C184" s="1144">
        <v>2</v>
      </c>
      <c r="D184" s="1167" t="s">
        <v>1251</v>
      </c>
      <c r="E184" s="1165"/>
      <c r="F184" s="1165"/>
      <c r="G184" s="1165"/>
      <c r="H184" s="1166"/>
      <c r="I184" s="1138"/>
      <c r="J184" s="1162"/>
      <c r="K184" s="1185"/>
      <c r="L184" s="1211"/>
    </row>
    <row r="185" spans="1:12" ht="30" customHeight="1">
      <c r="A185" s="1152"/>
      <c r="B185" s="1139"/>
      <c r="C185" s="1144"/>
      <c r="D185" s="2165" t="s">
        <v>1252</v>
      </c>
      <c r="E185" s="2166"/>
      <c r="F185" s="2166"/>
      <c r="G185" s="2166"/>
      <c r="H185" s="1175"/>
      <c r="I185" s="1138"/>
      <c r="J185" s="1162"/>
      <c r="K185" s="1185"/>
      <c r="L185" s="1211"/>
    </row>
    <row r="186" spans="1:12" ht="18.75" customHeight="1">
      <c r="A186" s="1152"/>
      <c r="B186" s="1139"/>
      <c r="C186" s="1144"/>
      <c r="D186" s="1176"/>
      <c r="E186" s="1177"/>
      <c r="F186" s="1177"/>
      <c r="G186" s="1177"/>
      <c r="H186" s="1175"/>
      <c r="I186" s="1138"/>
      <c r="J186" s="1162"/>
      <c r="K186" s="1185"/>
      <c r="L186" s="1211"/>
    </row>
    <row r="187" spans="1:12" ht="21.75" customHeight="1">
      <c r="A187" s="1152">
        <v>6.24</v>
      </c>
      <c r="B187" s="1139"/>
      <c r="C187" s="1144"/>
      <c r="D187" s="1176" t="s">
        <v>1180</v>
      </c>
      <c r="E187" s="1177" t="s">
        <v>420</v>
      </c>
      <c r="F187" s="1177"/>
      <c r="G187" s="1177"/>
      <c r="H187" s="1175"/>
      <c r="I187" s="1137" t="s">
        <v>877</v>
      </c>
      <c r="J187" s="1162">
        <v>10</v>
      </c>
      <c r="K187" s="1185"/>
      <c r="L187" s="1211"/>
    </row>
    <row r="188" spans="1:12" ht="21.75" customHeight="1">
      <c r="A188" s="1152"/>
      <c r="B188" s="1139"/>
      <c r="C188" s="1144"/>
      <c r="D188" s="1176"/>
      <c r="E188" s="1177"/>
      <c r="F188" s="1177"/>
      <c r="G188" s="1177"/>
      <c r="H188" s="1175"/>
      <c r="I188" s="1137"/>
      <c r="J188" s="1162"/>
      <c r="K188" s="1185"/>
      <c r="L188" s="1211"/>
    </row>
    <row r="189" spans="1:12" ht="21.75" customHeight="1">
      <c r="A189" s="1152"/>
      <c r="B189" s="1139"/>
      <c r="C189" s="1144">
        <v>3</v>
      </c>
      <c r="D189" s="2167" t="s">
        <v>1253</v>
      </c>
      <c r="E189" s="2167"/>
      <c r="F189" s="2167"/>
      <c r="G189" s="2167"/>
      <c r="H189" s="1178"/>
      <c r="I189" s="1138"/>
      <c r="J189" s="1162"/>
      <c r="K189" s="1185"/>
      <c r="L189" s="1211"/>
    </row>
    <row r="190" spans="1:12" ht="21.75" customHeight="1">
      <c r="A190" s="1152"/>
      <c r="B190" s="1139"/>
      <c r="C190" s="1144"/>
      <c r="D190" s="2165" t="s">
        <v>1248</v>
      </c>
      <c r="E190" s="2165"/>
      <c r="F190" s="2165"/>
      <c r="G190" s="2165"/>
      <c r="H190" s="1179"/>
      <c r="I190" s="1138"/>
      <c r="J190" s="1162"/>
      <c r="K190" s="1185"/>
      <c r="L190" s="1211"/>
    </row>
    <row r="191" spans="1:12" ht="21.75" customHeight="1">
      <c r="A191" s="1152">
        <v>6.25</v>
      </c>
      <c r="B191" s="1139"/>
      <c r="C191" s="1144"/>
      <c r="D191" s="1176" t="s">
        <v>1180</v>
      </c>
      <c r="E191" s="1177" t="s">
        <v>1254</v>
      </c>
      <c r="F191" s="1177"/>
      <c r="G191" s="1177"/>
      <c r="H191" s="1175"/>
      <c r="I191" s="1137" t="s">
        <v>877</v>
      </c>
      <c r="J191" s="1162">
        <v>10</v>
      </c>
      <c r="K191" s="1185"/>
      <c r="L191" s="1211"/>
    </row>
    <row r="192" spans="1:12" ht="21.75" customHeight="1">
      <c r="A192" s="1144"/>
      <c r="B192" s="1153"/>
      <c r="C192" s="1144"/>
      <c r="D192" s="1176"/>
      <c r="E192" s="1177"/>
      <c r="F192" s="1177"/>
      <c r="G192" s="1177"/>
      <c r="H192" s="1175"/>
      <c r="I192" s="1137"/>
      <c r="J192" s="1162"/>
      <c r="K192" s="1185"/>
      <c r="L192" s="1211"/>
    </row>
    <row r="193" spans="1:12" ht="21.75" customHeight="1">
      <c r="A193" s="1144">
        <v>6.26</v>
      </c>
      <c r="B193" s="1153"/>
      <c r="C193" s="1144"/>
      <c r="D193" s="1176" t="s">
        <v>1195</v>
      </c>
      <c r="E193" s="1177" t="s">
        <v>1255</v>
      </c>
      <c r="F193" s="1177"/>
      <c r="G193" s="1177"/>
      <c r="H193" s="1175"/>
      <c r="I193" s="1137" t="s">
        <v>877</v>
      </c>
      <c r="J193" s="1162">
        <v>50</v>
      </c>
      <c r="K193" s="1185"/>
      <c r="L193" s="1211"/>
    </row>
    <row r="194" spans="1:12" ht="21.75" customHeight="1">
      <c r="A194" s="1144"/>
      <c r="B194" s="1153"/>
      <c r="C194" s="1144"/>
      <c r="D194" s="1176"/>
      <c r="E194" s="1177"/>
      <c r="F194" s="1177"/>
      <c r="G194" s="1177"/>
      <c r="H194" s="1175"/>
      <c r="I194" s="1137"/>
      <c r="J194" s="1162"/>
      <c r="K194" s="1185"/>
      <c r="L194" s="1211"/>
    </row>
    <row r="195" spans="1:12" ht="21.75" customHeight="1">
      <c r="A195" s="1144">
        <v>6.27</v>
      </c>
      <c r="B195" s="1153"/>
      <c r="C195" s="1144"/>
      <c r="D195" s="1176" t="s">
        <v>1221</v>
      </c>
      <c r="E195" s="1177" t="s">
        <v>1256</v>
      </c>
      <c r="F195" s="1177"/>
      <c r="G195" s="1194"/>
      <c r="H195" s="1175"/>
      <c r="I195" s="1137" t="s">
        <v>877</v>
      </c>
      <c r="J195" s="1162">
        <v>15</v>
      </c>
      <c r="K195" s="1185"/>
      <c r="L195" s="1211"/>
    </row>
    <row r="196" spans="1:12" ht="21.75" customHeight="1">
      <c r="A196" s="1144"/>
      <c r="B196" s="1153"/>
      <c r="C196" s="1144"/>
      <c r="D196" s="1176"/>
      <c r="E196" s="1177"/>
      <c r="F196" s="1177"/>
      <c r="G196" s="1194"/>
      <c r="H196" s="1175"/>
      <c r="I196" s="1137"/>
      <c r="J196" s="1162"/>
      <c r="K196" s="1185"/>
      <c r="L196" s="1211"/>
    </row>
    <row r="197" spans="1:12" ht="21.75" customHeight="1">
      <c r="A197" s="1144">
        <v>6.28</v>
      </c>
      <c r="B197" s="1153"/>
      <c r="C197" s="1144"/>
      <c r="D197" s="1176" t="s">
        <v>1222</v>
      </c>
      <c r="E197" s="1177" t="s">
        <v>1257</v>
      </c>
      <c r="F197" s="1177"/>
      <c r="G197" s="1194"/>
      <c r="H197" s="1175"/>
      <c r="I197" s="1137" t="s">
        <v>877</v>
      </c>
      <c r="J197" s="1162">
        <v>15</v>
      </c>
      <c r="K197" s="1185"/>
      <c r="L197" s="1211"/>
    </row>
    <row r="198" spans="1:12" ht="21.75" customHeight="1">
      <c r="A198" s="1144"/>
      <c r="B198" s="1153"/>
      <c r="C198" s="1144"/>
      <c r="D198" s="1176"/>
      <c r="E198" s="1177"/>
      <c r="F198" s="1177"/>
      <c r="G198" s="1194"/>
      <c r="H198" s="1175"/>
      <c r="I198" s="1137"/>
      <c r="J198" s="1162"/>
      <c r="K198" s="1185"/>
      <c r="L198" s="1211"/>
    </row>
    <row r="199" spans="1:12" ht="20.25" customHeight="1">
      <c r="A199" s="1144"/>
      <c r="B199" s="1153"/>
      <c r="C199" s="1144"/>
      <c r="D199" s="1158" t="s">
        <v>1258</v>
      </c>
      <c r="E199" s="1146"/>
      <c r="F199" s="1141"/>
      <c r="G199" s="1180"/>
      <c r="H199" s="1171"/>
      <c r="I199" s="1137"/>
      <c r="J199" s="1162"/>
      <c r="K199" s="1185"/>
      <c r="L199" s="1211"/>
    </row>
    <row r="200" spans="1:12" ht="12.75" customHeight="1">
      <c r="A200" s="1144"/>
      <c r="B200" s="1153"/>
      <c r="C200" s="1144"/>
      <c r="D200" s="1158"/>
      <c r="E200" s="1146"/>
      <c r="F200" s="1141"/>
      <c r="G200" s="1180"/>
      <c r="H200" s="1171"/>
      <c r="I200" s="1137"/>
      <c r="J200" s="1162"/>
      <c r="K200" s="1185"/>
      <c r="L200" s="1211"/>
    </row>
    <row r="201" spans="1:12" ht="12.75" customHeight="1">
      <c r="A201" s="1144">
        <v>6.29</v>
      </c>
      <c r="B201" s="1153"/>
      <c r="C201" s="1144"/>
      <c r="D201" s="1146" t="s">
        <v>1327</v>
      </c>
      <c r="E201" s="1146"/>
      <c r="F201" s="1141"/>
      <c r="G201" s="1141"/>
      <c r="H201" s="1171"/>
      <c r="I201" s="1137" t="s">
        <v>877</v>
      </c>
      <c r="J201" s="1138">
        <v>40</v>
      </c>
      <c r="K201" s="1185"/>
      <c r="L201" s="1211"/>
    </row>
    <row r="202" spans="1:12" ht="12.75" customHeight="1">
      <c r="A202" s="1144"/>
      <c r="B202" s="1153"/>
      <c r="C202" s="1144"/>
      <c r="D202" s="1146"/>
      <c r="E202" s="1146"/>
      <c r="F202" s="1141"/>
      <c r="G202" s="1141"/>
      <c r="H202" s="1171"/>
      <c r="I202" s="1137"/>
      <c r="J202" s="1138"/>
      <c r="K202" s="1185"/>
      <c r="L202" s="1211"/>
    </row>
    <row r="203" spans="1:12" ht="12.75" customHeight="1">
      <c r="A203" s="1239" t="s">
        <v>1361</v>
      </c>
      <c r="B203" s="1153"/>
      <c r="C203" s="1144"/>
      <c r="D203" s="1146" t="s">
        <v>1329</v>
      </c>
      <c r="E203" s="1146"/>
      <c r="F203" s="1141"/>
      <c r="G203" s="1141"/>
      <c r="H203" s="1171"/>
      <c r="I203" s="1137" t="s">
        <v>460</v>
      </c>
      <c r="J203" s="1138">
        <v>1</v>
      </c>
      <c r="K203" s="1185"/>
      <c r="L203" s="1211"/>
    </row>
    <row r="204" spans="1:12" ht="12.75" customHeight="1">
      <c r="A204" s="1144"/>
      <c r="B204" s="1153"/>
      <c r="C204" s="1144"/>
      <c r="D204" s="1146"/>
      <c r="E204" s="1146"/>
      <c r="F204" s="1141"/>
      <c r="G204" s="1141"/>
      <c r="H204" s="1171"/>
      <c r="I204" s="1137"/>
      <c r="J204" s="1138"/>
      <c r="K204" s="1185"/>
      <c r="L204" s="1211"/>
    </row>
    <row r="205" spans="1:12">
      <c r="A205" s="1169"/>
      <c r="B205" s="1138"/>
      <c r="C205" s="1181"/>
      <c r="D205" s="1170" t="s">
        <v>1259</v>
      </c>
      <c r="E205" s="1141"/>
      <c r="F205" s="1141"/>
      <c r="G205" s="1141"/>
      <c r="H205" s="1171"/>
      <c r="I205" s="1138"/>
      <c r="J205" s="1138"/>
      <c r="K205" s="1185"/>
      <c r="L205" s="1211"/>
    </row>
    <row r="206" spans="1:12">
      <c r="A206" s="1169"/>
      <c r="B206" s="1138"/>
      <c r="C206" s="1181"/>
      <c r="D206" s="1170"/>
      <c r="E206" s="1141"/>
      <c r="F206" s="1141"/>
      <c r="G206" s="1141"/>
      <c r="H206" s="1171"/>
      <c r="I206" s="1138"/>
      <c r="J206" s="1138"/>
      <c r="K206" s="1185"/>
      <c r="L206" s="1211"/>
    </row>
    <row r="207" spans="1:12" ht="12.75" customHeight="1">
      <c r="A207" s="1144"/>
      <c r="B207" s="1153"/>
      <c r="C207" s="1144"/>
      <c r="D207" s="1146" t="s">
        <v>1260</v>
      </c>
      <c r="E207" s="1146"/>
      <c r="F207" s="1141"/>
      <c r="G207" s="1180"/>
      <c r="H207" s="1171"/>
      <c r="I207" s="1137"/>
      <c r="J207" s="1162"/>
      <c r="K207" s="1185"/>
      <c r="L207" s="1211"/>
    </row>
    <row r="208" spans="1:12" ht="12.75" customHeight="1">
      <c r="A208" s="1144"/>
      <c r="B208" s="1153"/>
      <c r="C208" s="1144"/>
      <c r="D208" s="1146"/>
      <c r="E208" s="1146"/>
      <c r="F208" s="1141"/>
      <c r="G208" s="1180"/>
      <c r="H208" s="1171"/>
      <c r="I208" s="1137"/>
      <c r="J208" s="1162"/>
      <c r="K208" s="1185"/>
      <c r="L208" s="1211"/>
    </row>
    <row r="209" spans="1:12" ht="12.75" customHeight="1">
      <c r="A209" s="1144">
        <v>6.31</v>
      </c>
      <c r="B209" s="1153"/>
      <c r="C209" s="1144"/>
      <c r="D209" s="1146" t="s">
        <v>1180</v>
      </c>
      <c r="E209" s="1146" t="s">
        <v>1302</v>
      </c>
      <c r="F209" s="1141"/>
      <c r="G209" s="1180"/>
      <c r="H209" s="1171"/>
      <c r="I209" s="1137" t="s">
        <v>877</v>
      </c>
      <c r="J209" s="1162">
        <v>30</v>
      </c>
      <c r="K209" s="1185"/>
      <c r="L209" s="1211"/>
    </row>
    <row r="210" spans="1:12" ht="12.75" customHeight="1">
      <c r="A210" s="1152"/>
      <c r="B210" s="1139"/>
      <c r="C210" s="1144"/>
      <c r="D210" s="1146"/>
      <c r="E210" s="1146"/>
      <c r="F210" s="1141"/>
      <c r="G210" s="1141"/>
      <c r="H210" s="1171"/>
      <c r="I210" s="1137"/>
      <c r="J210" s="1162"/>
      <c r="K210" s="1227"/>
      <c r="L210" s="1211"/>
    </row>
    <row r="211" spans="1:12" ht="12.75" customHeight="1">
      <c r="A211" s="1152"/>
      <c r="B211" s="1139"/>
      <c r="C211" s="1144"/>
      <c r="D211" s="1187"/>
      <c r="E211" s="1188"/>
      <c r="F211" s="1188"/>
      <c r="G211" s="1195"/>
      <c r="H211" s="1182"/>
      <c r="I211" s="1183"/>
      <c r="J211" s="1162"/>
      <c r="K211" s="1227"/>
      <c r="L211" s="1211"/>
    </row>
    <row r="212" spans="1:12" ht="12.75" customHeight="1">
      <c r="A212" s="1152"/>
      <c r="B212" s="1139"/>
      <c r="C212" s="1144"/>
      <c r="D212" s="1187"/>
      <c r="E212" s="1188"/>
      <c r="F212" s="1188"/>
      <c r="G212" s="1189"/>
      <c r="H212" s="1183"/>
      <c r="I212" s="1183"/>
      <c r="J212" s="1162"/>
      <c r="K212" s="1227"/>
      <c r="L212" s="1211"/>
    </row>
    <row r="213" spans="1:12" ht="12.75" customHeight="1">
      <c r="A213" s="1152"/>
      <c r="B213" s="1139"/>
      <c r="C213" s="1190"/>
      <c r="D213" s="1191"/>
      <c r="E213" s="1191"/>
      <c r="F213" s="1192"/>
      <c r="G213" s="1193"/>
      <c r="H213" s="1184"/>
      <c r="I213" s="1137"/>
      <c r="J213" s="1162"/>
      <c r="K213" s="1227"/>
      <c r="L213" s="1211"/>
    </row>
    <row r="214" spans="1:12" ht="30.75" customHeight="1">
      <c r="A214" s="2197" t="s">
        <v>1308</v>
      </c>
      <c r="B214" s="2198"/>
      <c r="C214" s="2198"/>
      <c r="D214" s="2198"/>
      <c r="E214" s="2198"/>
      <c r="F214" s="2198"/>
      <c r="G214" s="2198"/>
      <c r="H214" s="2198"/>
      <c r="I214" s="2198"/>
      <c r="J214" s="2198"/>
      <c r="K214" s="2199"/>
      <c r="L214" s="1219"/>
    </row>
    <row r="215" spans="1:12" ht="12.75" customHeight="1">
      <c r="A215" s="1077"/>
      <c r="B215" s="1086"/>
      <c r="C215" s="1079"/>
      <c r="D215" s="1078"/>
      <c r="E215" s="1078"/>
      <c r="F215" s="1044"/>
      <c r="G215" s="1044"/>
      <c r="H215" s="1044"/>
      <c r="I215" s="1120"/>
      <c r="J215" s="1087"/>
      <c r="K215" s="1228"/>
      <c r="L215" s="1217"/>
    </row>
    <row r="216" spans="1:12" ht="12.75" customHeight="1">
      <c r="A216" s="1036" t="s">
        <v>971</v>
      </c>
      <c r="B216" s="1037"/>
      <c r="C216" s="1037"/>
      <c r="D216" s="1037"/>
      <c r="E216" s="1037"/>
      <c r="F216" s="1037"/>
      <c r="G216" s="1037"/>
      <c r="H216" s="1037"/>
      <c r="I216" s="1037"/>
      <c r="J216" s="1198"/>
    </row>
    <row r="217" spans="1:12" ht="12.75" customHeight="1">
      <c r="A217" s="1036" t="str">
        <f>+A92</f>
        <v>CONTRACT NUMBER: GLM015/2025</v>
      </c>
      <c r="B217" s="1037"/>
      <c r="C217" s="1037"/>
      <c r="D217" s="1037"/>
      <c r="E217" s="1037"/>
      <c r="F217" s="1037"/>
      <c r="G217" s="1037"/>
      <c r="H217" s="1037"/>
      <c r="I217" s="1037"/>
      <c r="J217" s="1198"/>
    </row>
    <row r="218" spans="1:12" ht="12.75" customHeight="1">
      <c r="A218" s="1036" t="str">
        <f>+A3</f>
        <v>CONSTRUCTION OF MAPHALLE LANDFILL SITE PH2</v>
      </c>
      <c r="B218" s="1039"/>
      <c r="C218" s="1039"/>
      <c r="D218" s="1039"/>
      <c r="E218" s="1039"/>
      <c r="F218" s="1039"/>
      <c r="G218" s="1039"/>
      <c r="H218" s="1039"/>
      <c r="I218" s="1039"/>
      <c r="J218" s="1199"/>
    </row>
    <row r="219" spans="1:12" ht="12.75" customHeight="1">
      <c r="A219" s="1036"/>
      <c r="B219" s="1039"/>
      <c r="C219" s="1039"/>
      <c r="D219" s="1039"/>
      <c r="E219" s="1039"/>
      <c r="F219" s="1039"/>
      <c r="G219" s="1039"/>
      <c r="H219" s="1039"/>
      <c r="I219" s="1039"/>
      <c r="J219" s="1199"/>
    </row>
    <row r="220" spans="1:12" ht="12.75" customHeight="1">
      <c r="A220" s="1036" t="s">
        <v>1306</v>
      </c>
      <c r="B220" s="1039"/>
      <c r="C220" s="1039"/>
      <c r="D220" s="1039"/>
      <c r="E220" s="1039"/>
      <c r="F220" s="1039"/>
      <c r="G220" s="1039"/>
      <c r="H220" s="1151"/>
      <c r="I220" s="1151"/>
      <c r="J220" s="1202"/>
      <c r="K220" s="1229"/>
      <c r="L220" s="1220"/>
    </row>
    <row r="221" spans="1:12" ht="12.75" customHeight="1">
      <c r="A221" s="1039"/>
      <c r="B221" s="1039"/>
      <c r="C221" s="1039"/>
      <c r="D221" s="1039"/>
      <c r="E221" s="1039"/>
      <c r="F221" s="1039"/>
      <c r="G221" s="1039"/>
      <c r="H221" s="1080"/>
      <c r="I221" s="1080"/>
      <c r="J221" s="1201"/>
      <c r="K221" s="1226"/>
      <c r="L221" s="1216"/>
    </row>
    <row r="222" spans="1:12" s="1041" customFormat="1" ht="12.75" customHeight="1">
      <c r="A222" s="2157" t="s">
        <v>111</v>
      </c>
      <c r="B222" s="2157" t="s">
        <v>112</v>
      </c>
      <c r="C222" s="2159" t="s">
        <v>2</v>
      </c>
      <c r="D222" s="2159"/>
      <c r="E222" s="2159"/>
      <c r="F222" s="2159"/>
      <c r="G222" s="2159"/>
      <c r="H222" s="1099" t="s">
        <v>882</v>
      </c>
      <c r="I222" s="2159" t="s">
        <v>3</v>
      </c>
      <c r="J222" s="2161" t="s">
        <v>564</v>
      </c>
      <c r="K222" s="2149" t="s">
        <v>5</v>
      </c>
      <c r="L222" s="1208" t="s">
        <v>565</v>
      </c>
    </row>
    <row r="223" spans="1:12" s="1041" customFormat="1" ht="18.75" customHeight="1">
      <c r="A223" s="2158"/>
      <c r="B223" s="2158"/>
      <c r="C223" s="2160"/>
      <c r="D223" s="2160"/>
      <c r="E223" s="2160"/>
      <c r="F223" s="2160"/>
      <c r="G223" s="2160"/>
      <c r="H223" s="1100" t="s">
        <v>883</v>
      </c>
      <c r="I223" s="2160"/>
      <c r="J223" s="2162"/>
      <c r="K223" s="2150"/>
      <c r="L223" s="1209" t="s">
        <v>6</v>
      </c>
    </row>
    <row r="224" spans="1:12" ht="12.75" customHeight="1">
      <c r="A224" s="1081"/>
      <c r="B224" s="1088"/>
      <c r="C224" s="1089"/>
      <c r="D224" s="1044"/>
      <c r="E224" s="1044"/>
      <c r="F224" s="1044"/>
      <c r="G224" s="1090"/>
      <c r="H224" s="1044"/>
      <c r="I224" s="1091"/>
      <c r="J224" s="1111"/>
      <c r="K224" s="1230"/>
      <c r="L224" s="1221"/>
    </row>
    <row r="225" spans="1:12" ht="12.75" customHeight="1">
      <c r="A225" s="1047">
        <f>F225</f>
        <v>7</v>
      </c>
      <c r="B225" s="1052"/>
      <c r="C225" s="1048" t="s">
        <v>1175</v>
      </c>
      <c r="D225" s="1049"/>
      <c r="E225" s="1049"/>
      <c r="F225" s="1050">
        <f>F10+2</f>
        <v>7</v>
      </c>
      <c r="G225" s="1045"/>
      <c r="I225" s="1062"/>
      <c r="J225" s="1042"/>
      <c r="K225" s="1130"/>
      <c r="L225" s="1210"/>
    </row>
    <row r="226" spans="1:12" ht="12.75" customHeight="1">
      <c r="A226" s="1070"/>
      <c r="B226" s="1186" t="s">
        <v>1212</v>
      </c>
      <c r="C226" s="1068" t="s">
        <v>1352</v>
      </c>
      <c r="D226" s="1067"/>
      <c r="E226" s="1058"/>
      <c r="G226" s="1045"/>
      <c r="I226" s="1062"/>
      <c r="J226" s="1112"/>
      <c r="K226" s="1130"/>
      <c r="L226" s="1210"/>
    </row>
    <row r="227" spans="1:12" ht="12.75" customHeight="1">
      <c r="A227" s="1070"/>
      <c r="B227" s="1186" t="s">
        <v>1261</v>
      </c>
      <c r="C227" s="1156"/>
      <c r="D227" s="1177"/>
      <c r="E227" s="1146"/>
      <c r="F227" s="1141"/>
      <c r="G227" s="1045"/>
      <c r="I227" s="1062"/>
      <c r="J227" s="1112"/>
      <c r="K227" s="1130"/>
      <c r="L227" s="1210"/>
    </row>
    <row r="228" spans="1:12" ht="12.75" customHeight="1">
      <c r="A228" s="1070"/>
      <c r="B228" s="1052"/>
      <c r="C228" s="1083"/>
      <c r="D228" s="1067"/>
      <c r="E228" s="1058"/>
      <c r="G228" s="1045"/>
      <c r="I228" s="1062"/>
      <c r="J228" s="1112"/>
      <c r="K228" s="1130"/>
      <c r="L228" s="1210"/>
    </row>
    <row r="229" spans="1:12" ht="40.5" customHeight="1">
      <c r="A229" s="1070"/>
      <c r="B229" s="1052"/>
      <c r="C229" s="2168" t="s">
        <v>1332</v>
      </c>
      <c r="D229" s="2169"/>
      <c r="E229" s="2169"/>
      <c r="F229" s="2169"/>
      <c r="G229" s="2170"/>
      <c r="I229" s="1062"/>
      <c r="J229" s="1112"/>
      <c r="K229" s="1130"/>
      <c r="L229" s="1210"/>
    </row>
    <row r="230" spans="1:12" ht="12.75" customHeight="1">
      <c r="A230" s="1070"/>
      <c r="B230" s="1052"/>
      <c r="C230" s="1083"/>
      <c r="D230" s="1135"/>
      <c r="E230" s="1058"/>
      <c r="G230" s="1045"/>
      <c r="I230" s="1062"/>
      <c r="J230" s="1112"/>
      <c r="K230" s="1130"/>
      <c r="L230" s="1210"/>
    </row>
    <row r="231" spans="1:12" ht="12.75" customHeight="1">
      <c r="A231" s="1046"/>
      <c r="B231" s="1052" t="s">
        <v>1262</v>
      </c>
      <c r="C231" s="1092"/>
      <c r="D231" s="1066" t="s">
        <v>1263</v>
      </c>
      <c r="E231" s="1058"/>
      <c r="G231" s="1045"/>
      <c r="I231" s="1062"/>
      <c r="J231" s="1042"/>
      <c r="K231" s="1130"/>
      <c r="L231" s="1210"/>
    </row>
    <row r="232" spans="1:12" ht="12.75" customHeight="1">
      <c r="A232" s="1046"/>
      <c r="B232" s="1094"/>
      <c r="C232" s="1092"/>
      <c r="D232" s="1066"/>
      <c r="E232" s="1058"/>
      <c r="G232" s="1045"/>
      <c r="I232" s="1062"/>
      <c r="J232" s="1042"/>
      <c r="K232" s="1130"/>
      <c r="L232" s="1210"/>
    </row>
    <row r="233" spans="1:12" ht="12.75" customHeight="1">
      <c r="A233" s="1063">
        <f>A225+0.1</f>
        <v>7.1</v>
      </c>
      <c r="B233" s="1052"/>
      <c r="C233" s="1051"/>
      <c r="D233" s="1058" t="s">
        <v>1315</v>
      </c>
      <c r="E233" s="1058"/>
      <c r="F233" s="1058"/>
      <c r="G233" s="1045"/>
      <c r="I233" s="1062" t="s">
        <v>473</v>
      </c>
      <c r="J233" s="1113">
        <v>2</v>
      </c>
      <c r="K233" s="1130"/>
      <c r="L233" s="1210"/>
    </row>
    <row r="234" spans="1:12" ht="12.75" customHeight="1">
      <c r="A234" s="1063"/>
      <c r="B234" s="1052"/>
      <c r="C234" s="1051"/>
      <c r="D234" s="1058"/>
      <c r="E234" s="1058"/>
      <c r="F234" s="1058"/>
      <c r="G234" s="1045"/>
      <c r="I234" s="1062"/>
      <c r="J234" s="1113"/>
      <c r="K234" s="1130"/>
      <c r="L234" s="1210"/>
    </row>
    <row r="235" spans="1:12" ht="12.75" customHeight="1">
      <c r="A235" s="1063">
        <f>A233+0.1</f>
        <v>7.1999999999999993</v>
      </c>
      <c r="B235" s="1052"/>
      <c r="C235" s="1053"/>
      <c r="D235" s="1058" t="s">
        <v>1316</v>
      </c>
      <c r="E235" s="1058"/>
      <c r="F235" s="1058"/>
      <c r="G235" s="1045"/>
      <c r="I235" s="1062" t="s">
        <v>473</v>
      </c>
      <c r="J235" s="1113">
        <v>2</v>
      </c>
      <c r="K235" s="1130"/>
      <c r="L235" s="1210"/>
    </row>
    <row r="236" spans="1:12" ht="12.75" customHeight="1">
      <c r="A236" s="1063"/>
      <c r="B236" s="1052"/>
      <c r="C236" s="1053"/>
      <c r="D236" s="1058"/>
      <c r="E236" s="1058"/>
      <c r="F236" s="1058"/>
      <c r="G236" s="1045"/>
      <c r="I236" s="1062"/>
      <c r="J236" s="1113"/>
      <c r="K236" s="1130"/>
      <c r="L236" s="1210"/>
    </row>
    <row r="237" spans="1:12" ht="12.75" customHeight="1">
      <c r="A237" s="1063">
        <v>7.3</v>
      </c>
      <c r="B237" s="1052"/>
      <c r="C237" s="1057"/>
      <c r="D237" s="1058" t="s">
        <v>1317</v>
      </c>
      <c r="E237" s="1058"/>
      <c r="F237" s="1058"/>
      <c r="G237" s="1045"/>
      <c r="I237" s="1062" t="s">
        <v>473</v>
      </c>
      <c r="J237" s="1113">
        <v>2</v>
      </c>
      <c r="K237" s="1130"/>
      <c r="L237" s="1210"/>
    </row>
    <row r="238" spans="1:12" ht="12.75" customHeight="1">
      <c r="A238" s="1063"/>
      <c r="B238" s="1052"/>
      <c r="C238" s="1057"/>
      <c r="D238" s="1058"/>
      <c r="E238" s="1058"/>
      <c r="F238" s="1058"/>
      <c r="G238" s="1045"/>
      <c r="I238" s="1062"/>
      <c r="J238" s="1113"/>
      <c r="K238" s="1130"/>
      <c r="L238" s="1210"/>
    </row>
    <row r="239" spans="1:12" ht="12.75" customHeight="1">
      <c r="A239" s="1063">
        <v>7.4</v>
      </c>
      <c r="B239" s="1052"/>
      <c r="C239" s="1057"/>
      <c r="D239" s="1058" t="s">
        <v>1318</v>
      </c>
      <c r="E239" s="1058"/>
      <c r="F239" s="1058"/>
      <c r="G239" s="1045"/>
      <c r="I239" s="1062" t="s">
        <v>473</v>
      </c>
      <c r="J239" s="1113">
        <v>1.5</v>
      </c>
      <c r="K239" s="1130"/>
      <c r="L239" s="1210"/>
    </row>
    <row r="240" spans="1:12" ht="12.75" customHeight="1">
      <c r="A240" s="1063"/>
      <c r="B240" s="1052"/>
      <c r="C240" s="1057"/>
      <c r="D240" s="1058"/>
      <c r="E240" s="1058"/>
      <c r="F240" s="1058"/>
      <c r="G240" s="1045"/>
      <c r="I240" s="1062"/>
      <c r="J240" s="1113"/>
      <c r="K240" s="1130"/>
      <c r="L240" s="1210"/>
    </row>
    <row r="241" spans="1:12" ht="12.75" customHeight="1">
      <c r="A241" s="1063">
        <v>7.5</v>
      </c>
      <c r="B241" s="1052"/>
      <c r="C241" s="1057"/>
      <c r="D241" s="1058" t="s">
        <v>1343</v>
      </c>
      <c r="E241" s="1058"/>
      <c r="F241" s="1058"/>
      <c r="G241" s="1045"/>
      <c r="I241" s="1062" t="s">
        <v>473</v>
      </c>
      <c r="J241" s="1113">
        <v>5</v>
      </c>
      <c r="K241" s="1130"/>
      <c r="L241" s="1210"/>
    </row>
    <row r="242" spans="1:12" ht="12.75" customHeight="1">
      <c r="A242" s="1063"/>
      <c r="B242" s="1052"/>
      <c r="C242" s="1057"/>
      <c r="D242" s="1058"/>
      <c r="E242" s="1058"/>
      <c r="F242" s="1058"/>
      <c r="G242" s="1045"/>
      <c r="I242" s="1062"/>
      <c r="J242" s="1113"/>
      <c r="K242" s="1130"/>
      <c r="L242" s="1210"/>
    </row>
    <row r="243" spans="1:12" ht="12.75" customHeight="1">
      <c r="A243" s="1063">
        <v>7.6</v>
      </c>
      <c r="B243" s="1052"/>
      <c r="C243" s="1057"/>
      <c r="D243" s="1058" t="s">
        <v>1344</v>
      </c>
      <c r="E243" s="1058"/>
      <c r="F243" s="1058"/>
      <c r="G243" s="1045"/>
      <c r="I243" s="1062" t="s">
        <v>473</v>
      </c>
      <c r="J243" s="1113">
        <v>1.5</v>
      </c>
      <c r="K243" s="1130"/>
      <c r="L243" s="1210"/>
    </row>
    <row r="244" spans="1:12" ht="12.75" customHeight="1">
      <c r="A244" s="1063"/>
      <c r="B244" s="1052"/>
      <c r="C244" s="1057"/>
      <c r="D244" s="1058"/>
      <c r="E244" s="1058"/>
      <c r="F244" s="1058"/>
      <c r="G244" s="1045"/>
      <c r="I244" s="1062"/>
      <c r="J244" s="1113"/>
      <c r="K244" s="1130"/>
      <c r="L244" s="1210"/>
    </row>
    <row r="245" spans="1:12" ht="12.75" customHeight="1">
      <c r="A245" s="1063">
        <v>7.7</v>
      </c>
      <c r="B245" s="1052"/>
      <c r="C245" s="1057"/>
      <c r="D245" s="1058" t="s">
        <v>1363</v>
      </c>
      <c r="E245" s="1058"/>
      <c r="F245" s="1058"/>
      <c r="G245" s="1045"/>
      <c r="I245" s="1062" t="s">
        <v>473</v>
      </c>
      <c r="J245" s="1113">
        <v>3</v>
      </c>
      <c r="K245" s="1130"/>
      <c r="L245" s="1210"/>
    </row>
    <row r="246" spans="1:12" ht="12.75" customHeight="1">
      <c r="A246" s="1063"/>
      <c r="B246" s="1052"/>
      <c r="C246" s="1057"/>
      <c r="D246" s="1058"/>
      <c r="E246" s="1058"/>
      <c r="F246" s="1058"/>
      <c r="G246" s="1045"/>
      <c r="I246" s="1062"/>
      <c r="J246" s="1113"/>
      <c r="K246" s="1130"/>
      <c r="L246" s="1210"/>
    </row>
    <row r="247" spans="1:12" ht="12.75" customHeight="1">
      <c r="A247" s="1063">
        <v>7.8</v>
      </c>
      <c r="B247" s="1052"/>
      <c r="C247" s="1057"/>
      <c r="D247" s="1146" t="s">
        <v>1364</v>
      </c>
      <c r="E247" s="1146"/>
      <c r="F247" s="1146"/>
      <c r="G247" s="1147"/>
      <c r="I247" s="1062" t="s">
        <v>473</v>
      </c>
      <c r="J247" s="1113">
        <v>2</v>
      </c>
      <c r="K247" s="1130"/>
      <c r="L247" s="1210"/>
    </row>
    <row r="248" spans="1:12" ht="12.75" customHeight="1">
      <c r="A248" s="1063"/>
      <c r="B248" s="1052"/>
      <c r="C248" s="1057"/>
      <c r="D248" s="1146"/>
      <c r="E248" s="1146"/>
      <c r="F248" s="1146"/>
      <c r="G248" s="1147"/>
      <c r="I248" s="1062"/>
      <c r="J248" s="1113"/>
      <c r="K248" s="1130"/>
      <c r="L248" s="1210"/>
    </row>
    <row r="249" spans="1:12" ht="12.75" customHeight="1">
      <c r="A249" s="1095">
        <v>7.9</v>
      </c>
      <c r="B249" s="1052"/>
      <c r="C249" s="1059"/>
      <c r="D249" s="1058" t="s">
        <v>1365</v>
      </c>
      <c r="E249" s="1058"/>
      <c r="F249" s="1058"/>
      <c r="G249" s="1045"/>
      <c r="I249" s="1062" t="s">
        <v>473</v>
      </c>
      <c r="J249" s="1114">
        <v>3.5</v>
      </c>
      <c r="K249" s="1130"/>
      <c r="L249" s="1210"/>
    </row>
    <row r="250" spans="1:12" ht="12.75" customHeight="1">
      <c r="A250" s="1095"/>
      <c r="B250" s="1052"/>
      <c r="C250" s="1059"/>
      <c r="D250" s="1058"/>
      <c r="E250" s="1058"/>
      <c r="F250" s="1058"/>
      <c r="G250" s="1045"/>
      <c r="I250" s="1062"/>
      <c r="J250" s="1114"/>
      <c r="K250" s="1130"/>
      <c r="L250" s="1210"/>
    </row>
    <row r="251" spans="1:12" ht="12.75" customHeight="1">
      <c r="A251" s="1240" t="s">
        <v>1368</v>
      </c>
      <c r="B251" s="1052"/>
      <c r="C251" s="1059"/>
      <c r="D251" s="1058" t="s">
        <v>1366</v>
      </c>
      <c r="E251" s="1058"/>
      <c r="F251" s="1058"/>
      <c r="G251" s="1045"/>
      <c r="I251" s="1062" t="s">
        <v>871</v>
      </c>
      <c r="J251" s="1114">
        <v>1</v>
      </c>
      <c r="K251" s="1130"/>
      <c r="L251" s="1210"/>
    </row>
    <row r="252" spans="1:12" ht="12.75" customHeight="1">
      <c r="A252" s="1095"/>
      <c r="B252" s="1052"/>
      <c r="C252" s="1059"/>
      <c r="D252" s="1058"/>
      <c r="E252" s="1058"/>
      <c r="F252" s="1058"/>
      <c r="G252" s="1045"/>
      <c r="I252" s="1062"/>
      <c r="J252" s="1114"/>
      <c r="K252" s="1130"/>
      <c r="L252" s="1210"/>
    </row>
    <row r="253" spans="1:12" ht="21.75" customHeight="1">
      <c r="A253" s="1240" t="s">
        <v>1369</v>
      </c>
      <c r="B253" s="1052"/>
      <c r="C253" s="1059"/>
      <c r="D253" s="1058" t="s">
        <v>1387</v>
      </c>
      <c r="E253" s="1058"/>
      <c r="F253" s="1058"/>
      <c r="G253" s="1045"/>
      <c r="I253" s="1062" t="s">
        <v>871</v>
      </c>
      <c r="J253" s="1114">
        <v>1</v>
      </c>
      <c r="K253" s="1130"/>
      <c r="L253" s="1210"/>
    </row>
    <row r="254" spans="1:12" ht="12.75" customHeight="1">
      <c r="A254" s="1095"/>
      <c r="B254" s="1052"/>
      <c r="C254" s="1059"/>
      <c r="D254" s="1058"/>
      <c r="E254" s="1058"/>
      <c r="F254" s="1058"/>
      <c r="G254" s="1045"/>
      <c r="I254" s="1062"/>
      <c r="J254" s="1113"/>
      <c r="K254" s="1130"/>
      <c r="L254" s="1210"/>
    </row>
    <row r="255" spans="1:12" ht="12.75" customHeight="1">
      <c r="A255" s="1240" t="s">
        <v>1370</v>
      </c>
      <c r="B255" s="1052"/>
      <c r="C255" s="1059"/>
      <c r="D255" s="1058" t="s">
        <v>1367</v>
      </c>
      <c r="E255" s="1058" t="s">
        <v>1264</v>
      </c>
      <c r="F255" s="1058"/>
      <c r="G255" s="1045"/>
      <c r="I255" s="1062"/>
      <c r="J255" s="1113"/>
      <c r="K255" s="1130"/>
      <c r="L255" s="1210"/>
    </row>
    <row r="256" spans="1:12" ht="12.75" customHeight="1">
      <c r="A256" s="1095"/>
      <c r="B256" s="1052"/>
      <c r="C256" s="1059"/>
      <c r="D256" s="1058"/>
      <c r="E256" s="1058"/>
      <c r="F256" s="1058"/>
      <c r="G256" s="1045"/>
      <c r="I256" s="1062"/>
      <c r="J256" s="1113"/>
      <c r="K256" s="1130"/>
      <c r="L256" s="1210"/>
    </row>
    <row r="257" spans="1:13" ht="12.75" customHeight="1">
      <c r="A257" s="1095"/>
      <c r="B257" s="1052"/>
      <c r="C257" s="1059"/>
      <c r="D257" s="1058"/>
      <c r="E257" s="1069" t="s">
        <v>1182</v>
      </c>
      <c r="F257" s="1058" t="s">
        <v>1265</v>
      </c>
      <c r="G257" s="1045"/>
      <c r="I257" s="1062"/>
      <c r="J257" s="1112"/>
      <c r="K257" s="1130"/>
      <c r="L257" s="1210"/>
    </row>
    <row r="258" spans="1:13" ht="12.75" customHeight="1">
      <c r="A258" s="1095"/>
      <c r="B258" s="1052"/>
      <c r="C258" s="1059"/>
      <c r="D258" s="1058"/>
      <c r="E258" s="1058"/>
      <c r="F258" s="1058" t="s">
        <v>1266</v>
      </c>
      <c r="G258" s="1045"/>
      <c r="I258" s="1062" t="s">
        <v>863</v>
      </c>
      <c r="J258" s="1112">
        <v>1</v>
      </c>
      <c r="K258" s="1130"/>
      <c r="L258" s="1210"/>
      <c r="M258" s="1115"/>
    </row>
    <row r="259" spans="1:13" ht="12.75" customHeight="1">
      <c r="A259" s="1095"/>
      <c r="B259" s="1052"/>
      <c r="C259" s="1059"/>
      <c r="D259" s="1058"/>
      <c r="E259" s="1058"/>
      <c r="F259" s="1058"/>
      <c r="G259" s="1045"/>
      <c r="I259" s="1062"/>
      <c r="J259" s="1112"/>
      <c r="K259" s="1130"/>
      <c r="L259" s="1210"/>
      <c r="M259" s="1115"/>
    </row>
    <row r="260" spans="1:13" ht="30.75" customHeight="1">
      <c r="A260" s="1240" t="s">
        <v>1371</v>
      </c>
      <c r="B260" s="1052"/>
      <c r="C260" s="1059"/>
      <c r="D260" s="1069"/>
      <c r="E260" s="1069" t="s">
        <v>1185</v>
      </c>
      <c r="F260" s="2171" t="s">
        <v>1319</v>
      </c>
      <c r="G260" s="2172"/>
      <c r="H260" s="1108"/>
      <c r="I260" s="1062" t="s">
        <v>460</v>
      </c>
      <c r="J260" s="1112">
        <v>1</v>
      </c>
      <c r="K260" s="1130"/>
      <c r="L260" s="1210"/>
      <c r="M260" s="1115"/>
    </row>
    <row r="261" spans="1:13" ht="30.75" customHeight="1">
      <c r="A261" s="1095"/>
      <c r="B261" s="1052"/>
      <c r="C261" s="1059"/>
      <c r="D261" s="1069"/>
      <c r="E261" s="1069"/>
      <c r="F261" s="1108"/>
      <c r="G261" s="1109"/>
      <c r="H261" s="1108"/>
      <c r="I261" s="1062"/>
      <c r="J261" s="1112"/>
      <c r="K261" s="1130"/>
      <c r="L261" s="1210"/>
      <c r="M261" s="1115"/>
    </row>
    <row r="262" spans="1:13" ht="30.75" customHeight="1">
      <c r="A262" s="1240" t="s">
        <v>1372</v>
      </c>
      <c r="B262" s="1052"/>
      <c r="C262" s="1059"/>
      <c r="D262" s="1069"/>
      <c r="E262" s="1069" t="s">
        <v>1291</v>
      </c>
      <c r="F262" s="2171" t="s">
        <v>1321</v>
      </c>
      <c r="G262" s="2172"/>
      <c r="H262" s="1108"/>
      <c r="I262" s="1062" t="s">
        <v>460</v>
      </c>
      <c r="J262" s="1112">
        <v>1</v>
      </c>
      <c r="K262" s="1130"/>
      <c r="L262" s="1210"/>
      <c r="M262" s="1115"/>
    </row>
    <row r="263" spans="1:13" ht="12.75" customHeight="1">
      <c r="A263" s="1095"/>
      <c r="B263" s="1052"/>
      <c r="C263" s="1059"/>
      <c r="D263" s="1058"/>
      <c r="E263" s="1058"/>
      <c r="F263" s="1058"/>
      <c r="G263" s="1045"/>
      <c r="I263" s="1062"/>
      <c r="J263" s="1112"/>
      <c r="K263" s="1130"/>
      <c r="L263" s="1210"/>
    </row>
    <row r="264" spans="1:13" ht="12.75" customHeight="1">
      <c r="A264" s="1095"/>
      <c r="B264" s="1052"/>
      <c r="C264" s="1059"/>
      <c r="D264" s="1116" t="s">
        <v>1267</v>
      </c>
      <c r="E264" s="1058"/>
      <c r="F264" s="1058"/>
      <c r="G264" s="1045"/>
      <c r="I264" s="1062"/>
      <c r="J264" s="1112"/>
      <c r="K264" s="1130"/>
      <c r="L264" s="1210"/>
    </row>
    <row r="265" spans="1:13" ht="12.75" customHeight="1">
      <c r="A265" s="1095"/>
      <c r="B265" s="1052"/>
      <c r="C265" s="1059"/>
      <c r="D265" s="1058" t="s">
        <v>1268</v>
      </c>
      <c r="E265" s="1058"/>
      <c r="F265" s="1058"/>
      <c r="G265" s="1045"/>
      <c r="I265" s="1062"/>
      <c r="J265" s="1112"/>
      <c r="K265" s="1130"/>
      <c r="L265" s="1210"/>
    </row>
    <row r="266" spans="1:13" ht="12.75" customHeight="1">
      <c r="A266" s="1095"/>
      <c r="B266" s="1052"/>
      <c r="C266" s="1059"/>
      <c r="D266" s="1058" t="s">
        <v>1269</v>
      </c>
      <c r="E266" s="1058"/>
      <c r="F266" s="1058"/>
      <c r="G266" s="1045"/>
      <c r="I266" s="1062"/>
      <c r="J266" s="1112"/>
      <c r="K266" s="1130"/>
      <c r="L266" s="1210"/>
    </row>
    <row r="267" spans="1:13" ht="12.75" customHeight="1">
      <c r="A267" s="1095"/>
      <c r="B267" s="1052"/>
      <c r="C267" s="1059"/>
      <c r="D267" s="1058" t="s">
        <v>1270</v>
      </c>
      <c r="E267" s="1058"/>
      <c r="F267" s="1058"/>
      <c r="G267" s="1045"/>
      <c r="I267" s="1062"/>
      <c r="J267" s="1112"/>
      <c r="K267" s="1130"/>
      <c r="L267" s="1210"/>
    </row>
    <row r="268" spans="1:13" ht="12.75" customHeight="1">
      <c r="A268" s="1095"/>
      <c r="B268" s="1052"/>
      <c r="C268" s="1059"/>
      <c r="D268" s="1058"/>
      <c r="E268" s="1058"/>
      <c r="F268" s="1058"/>
      <c r="G268" s="1045"/>
      <c r="I268" s="1062"/>
      <c r="J268" s="1112"/>
      <c r="K268" s="1130"/>
      <c r="L268" s="1210"/>
    </row>
    <row r="269" spans="1:13" ht="12.75" customHeight="1">
      <c r="A269" s="1240" t="s">
        <v>1373</v>
      </c>
      <c r="B269" s="1052"/>
      <c r="C269" s="1059"/>
      <c r="D269" s="1058" t="s">
        <v>1180</v>
      </c>
      <c r="E269" s="1058" t="s">
        <v>1271</v>
      </c>
      <c r="F269" s="1058"/>
      <c r="G269" s="1045"/>
      <c r="I269" s="1137" t="s">
        <v>877</v>
      </c>
      <c r="J269" s="1112">
        <v>1000</v>
      </c>
      <c r="K269" s="1130"/>
      <c r="L269" s="1210"/>
    </row>
    <row r="270" spans="1:13" ht="12.75" customHeight="1">
      <c r="A270" s="1095"/>
      <c r="B270" s="1052"/>
      <c r="C270" s="1059"/>
      <c r="D270" s="1058"/>
      <c r="E270" s="1058"/>
      <c r="F270" s="1058"/>
      <c r="G270" s="1045"/>
      <c r="I270" s="1062"/>
      <c r="J270" s="1112"/>
      <c r="K270" s="1130"/>
      <c r="L270" s="1210"/>
    </row>
    <row r="271" spans="1:13" ht="12.75" customHeight="1">
      <c r="A271" s="1240" t="s">
        <v>1374</v>
      </c>
      <c r="B271" s="1052"/>
      <c r="C271" s="1059"/>
      <c r="D271" s="1058" t="s">
        <v>1195</v>
      </c>
      <c r="E271" s="1058" t="s">
        <v>1272</v>
      </c>
      <c r="F271" s="1058"/>
      <c r="G271" s="1045"/>
      <c r="I271" s="1062" t="s">
        <v>136</v>
      </c>
      <c r="J271" s="1112">
        <v>200</v>
      </c>
      <c r="K271" s="1130"/>
      <c r="L271" s="1210"/>
    </row>
    <row r="272" spans="1:13" ht="12.75" customHeight="1">
      <c r="A272" s="1095"/>
      <c r="B272" s="1052"/>
      <c r="C272" s="1059"/>
      <c r="D272" s="1058"/>
      <c r="E272" s="1058"/>
      <c r="F272" s="1058"/>
      <c r="G272" s="1045"/>
      <c r="H272" s="1045"/>
      <c r="I272" s="1062"/>
      <c r="J272" s="1071"/>
      <c r="K272" s="1130"/>
      <c r="L272" s="1210"/>
    </row>
    <row r="273" spans="1:12" ht="12.75" customHeight="1">
      <c r="A273" s="1095"/>
      <c r="B273" s="1052"/>
      <c r="C273" s="1059"/>
      <c r="D273" s="1116" t="s">
        <v>1273</v>
      </c>
      <c r="E273" s="1058"/>
      <c r="F273" s="1058"/>
      <c r="G273" s="1045"/>
      <c r="H273" s="1045"/>
      <c r="I273" s="1062"/>
      <c r="J273" s="1071"/>
      <c r="K273" s="1130"/>
      <c r="L273" s="1210"/>
    </row>
    <row r="274" spans="1:12" ht="33" customHeight="1">
      <c r="A274" s="1240" t="s">
        <v>1375</v>
      </c>
      <c r="B274" s="1052"/>
      <c r="C274" s="1059"/>
      <c r="D274" s="1058" t="s">
        <v>1274</v>
      </c>
      <c r="E274" s="2186" t="s">
        <v>1275</v>
      </c>
      <c r="F274" s="2186"/>
      <c r="G274" s="2187"/>
      <c r="H274" s="1106"/>
      <c r="I274" s="1062" t="s">
        <v>863</v>
      </c>
      <c r="J274" s="1071">
        <v>1</v>
      </c>
      <c r="K274" s="1130"/>
      <c r="L274" s="1210"/>
    </row>
    <row r="275" spans="1:12" ht="21" customHeight="1">
      <c r="A275" s="1240"/>
      <c r="B275" s="1052"/>
      <c r="C275" s="1059"/>
      <c r="D275" s="1058"/>
      <c r="E275" s="1105"/>
      <c r="F275" s="1105"/>
      <c r="G275" s="1106"/>
      <c r="H275" s="1106"/>
      <c r="I275" s="1062"/>
      <c r="J275" s="1071"/>
      <c r="K275" s="1130"/>
      <c r="L275" s="1210"/>
    </row>
    <row r="276" spans="1:12" ht="22.5" customHeight="1">
      <c r="A276" s="1240" t="s">
        <v>1376</v>
      </c>
      <c r="B276" s="1052"/>
      <c r="C276" s="1059"/>
      <c r="D276" s="1117" t="s">
        <v>1195</v>
      </c>
      <c r="E276" s="2186" t="s">
        <v>1276</v>
      </c>
      <c r="F276" s="2186"/>
      <c r="G276" s="2187"/>
      <c r="H276" s="1106"/>
      <c r="I276" s="1062" t="s">
        <v>863</v>
      </c>
      <c r="J276" s="1071">
        <v>1</v>
      </c>
      <c r="K276" s="1130"/>
      <c r="L276" s="1210"/>
    </row>
    <row r="277" spans="1:12" ht="12.75" customHeight="1">
      <c r="A277" s="1095"/>
      <c r="B277" s="1052"/>
      <c r="C277" s="1059"/>
      <c r="D277" s="1058"/>
      <c r="E277" s="1058"/>
      <c r="F277" s="1058"/>
      <c r="G277" s="1045"/>
      <c r="H277" s="1045"/>
      <c r="I277" s="1062"/>
      <c r="J277" s="1071"/>
      <c r="K277" s="1130"/>
      <c r="L277" s="1210"/>
    </row>
    <row r="278" spans="1:12" ht="12.75" customHeight="1">
      <c r="A278" s="1095"/>
      <c r="B278" s="1052"/>
      <c r="C278" s="1059"/>
      <c r="D278" s="1116" t="s">
        <v>1277</v>
      </c>
      <c r="E278" s="1058"/>
      <c r="F278" s="1058"/>
      <c r="G278" s="1045"/>
      <c r="H278" s="1045"/>
      <c r="I278" s="1062"/>
      <c r="J278" s="1071"/>
      <c r="K278" s="1130"/>
      <c r="L278" s="1210"/>
    </row>
    <row r="279" spans="1:12" ht="33" customHeight="1">
      <c r="A279" s="1070">
        <v>7.19</v>
      </c>
      <c r="B279" s="1052"/>
      <c r="C279" s="1059"/>
      <c r="D279" s="1058" t="s">
        <v>1180</v>
      </c>
      <c r="E279" s="2171" t="s">
        <v>1278</v>
      </c>
      <c r="F279" s="2171"/>
      <c r="G279" s="2172"/>
      <c r="H279" s="1109"/>
      <c r="I279" s="1062" t="s">
        <v>138</v>
      </c>
      <c r="J279" s="1071">
        <v>2</v>
      </c>
      <c r="K279" s="1130"/>
      <c r="L279" s="1210"/>
    </row>
    <row r="280" spans="1:12" ht="15.75" customHeight="1">
      <c r="A280" s="1095"/>
      <c r="B280" s="1052"/>
      <c r="C280" s="1059"/>
      <c r="D280" s="1116"/>
      <c r="E280" s="1108"/>
      <c r="F280" s="1108"/>
      <c r="G280" s="1109"/>
      <c r="H280" s="1109"/>
      <c r="I280" s="1062"/>
      <c r="J280" s="1071"/>
      <c r="K280" s="1130"/>
      <c r="L280" s="1210"/>
    </row>
    <row r="281" spans="1:12" ht="12.75" customHeight="1">
      <c r="A281" s="1095"/>
      <c r="B281" s="1052"/>
      <c r="C281" s="1059"/>
      <c r="D281" s="1116" t="s">
        <v>1279</v>
      </c>
      <c r="E281" s="1058"/>
      <c r="F281" s="1058"/>
      <c r="G281" s="1045"/>
      <c r="H281" s="1045"/>
      <c r="I281" s="1062"/>
      <c r="J281" s="1071"/>
      <c r="K281" s="1130"/>
      <c r="L281" s="1210"/>
    </row>
    <row r="282" spans="1:12" ht="12.75" customHeight="1">
      <c r="A282" s="1132" t="s">
        <v>1377</v>
      </c>
      <c r="B282" s="1052"/>
      <c r="C282" s="1059"/>
      <c r="D282" s="1146" t="s">
        <v>1180</v>
      </c>
      <c r="E282" s="1146" t="s">
        <v>1354</v>
      </c>
      <c r="F282" s="1146"/>
      <c r="G282" s="1147"/>
      <c r="H282" s="1205"/>
      <c r="I282" s="1137" t="s">
        <v>138</v>
      </c>
      <c r="J282" s="1206">
        <v>2</v>
      </c>
      <c r="K282" s="1185"/>
      <c r="L282" s="1211"/>
    </row>
    <row r="283" spans="1:12" ht="12.75" customHeight="1">
      <c r="A283" s="1070"/>
      <c r="B283" s="1052"/>
      <c r="C283" s="1059"/>
      <c r="D283" s="1146"/>
      <c r="E283" s="1146"/>
      <c r="F283" s="1146"/>
      <c r="G283" s="1147"/>
      <c r="H283" s="1205"/>
      <c r="I283" s="1137"/>
      <c r="J283" s="1206"/>
      <c r="K283" s="1185"/>
      <c r="L283" s="1211"/>
    </row>
    <row r="284" spans="1:12" ht="12.75" customHeight="1">
      <c r="A284" s="1070">
        <v>7.21</v>
      </c>
      <c r="B284" s="1052"/>
      <c r="C284" s="1059"/>
      <c r="D284" s="1146" t="s">
        <v>1195</v>
      </c>
      <c r="E284" s="1146" t="s">
        <v>1355</v>
      </c>
      <c r="F284" s="1146"/>
      <c r="G284" s="1147"/>
      <c r="H284" s="1205"/>
      <c r="I284" s="1137" t="s">
        <v>138</v>
      </c>
      <c r="J284" s="1206">
        <v>4</v>
      </c>
      <c r="K284" s="1185"/>
      <c r="L284" s="1211"/>
    </row>
    <row r="285" spans="1:12" ht="12.75" customHeight="1">
      <c r="A285" s="1070"/>
      <c r="B285" s="1052"/>
      <c r="C285" s="1059"/>
      <c r="D285" s="1146"/>
      <c r="E285" s="1146"/>
      <c r="F285" s="1146"/>
      <c r="G285" s="1147"/>
      <c r="H285" s="1147"/>
      <c r="I285" s="1137"/>
      <c r="J285" s="1206"/>
      <c r="K285" s="1185"/>
      <c r="L285" s="1211"/>
    </row>
    <row r="286" spans="1:12" ht="12.75" customHeight="1">
      <c r="A286" s="1070">
        <v>7.22</v>
      </c>
      <c r="B286" s="1052"/>
      <c r="C286" s="1059"/>
      <c r="D286" s="1146" t="s">
        <v>1221</v>
      </c>
      <c r="E286" s="1146" t="s">
        <v>1356</v>
      </c>
      <c r="F286" s="1146"/>
      <c r="G286" s="1147"/>
      <c r="H286" s="1205"/>
      <c r="I286" s="1137" t="s">
        <v>138</v>
      </c>
      <c r="J286" s="1206">
        <v>4</v>
      </c>
      <c r="K286" s="1185"/>
      <c r="L286" s="1211"/>
    </row>
    <row r="287" spans="1:12" ht="12.75" customHeight="1">
      <c r="A287" s="1063"/>
      <c r="B287" s="1042"/>
      <c r="C287" s="1043"/>
      <c r="G287" s="1045"/>
      <c r="H287" s="1045"/>
      <c r="I287" s="1046"/>
      <c r="J287" s="1046"/>
      <c r="K287" s="1130"/>
      <c r="L287" s="1210"/>
    </row>
    <row r="288" spans="1:12" ht="12.75" customHeight="1">
      <c r="A288" s="1063"/>
      <c r="B288" s="1042"/>
      <c r="C288" s="1051"/>
      <c r="D288" s="1084"/>
      <c r="E288" s="1084"/>
      <c r="F288" s="1050"/>
      <c r="G288" s="1085"/>
      <c r="H288" s="1085"/>
      <c r="I288" s="1046"/>
      <c r="J288" s="1046"/>
      <c r="K288" s="1130"/>
      <c r="L288" s="1210"/>
    </row>
    <row r="289" spans="1:12" ht="12.75" customHeight="1">
      <c r="A289" s="1063"/>
      <c r="B289" s="1042"/>
      <c r="C289" s="1051"/>
      <c r="D289" s="1084"/>
      <c r="E289" s="1084"/>
      <c r="F289" s="1084"/>
      <c r="G289" s="1085"/>
      <c r="H289" s="1085"/>
      <c r="I289" s="1046"/>
      <c r="J289" s="1046"/>
      <c r="K289" s="1130"/>
      <c r="L289" s="1210"/>
    </row>
    <row r="290" spans="1:12" ht="12.75" customHeight="1">
      <c r="A290" s="1046"/>
      <c r="B290" s="1042"/>
      <c r="C290" s="1098"/>
      <c r="D290" s="1084"/>
      <c r="E290" s="1084"/>
      <c r="F290" s="1084"/>
      <c r="G290" s="1085"/>
      <c r="H290" s="1085"/>
      <c r="I290" s="1046"/>
      <c r="J290" s="1046"/>
      <c r="K290" s="1130"/>
      <c r="L290" s="1210"/>
    </row>
    <row r="291" spans="1:12" ht="40.5" customHeight="1">
      <c r="A291" s="2194" t="s">
        <v>1308</v>
      </c>
      <c r="B291" s="2195"/>
      <c r="C291" s="2195"/>
      <c r="D291" s="2195"/>
      <c r="E291" s="2195"/>
      <c r="F291" s="2195"/>
      <c r="G291" s="2195"/>
      <c r="H291" s="2195"/>
      <c r="I291" s="2195"/>
      <c r="J291" s="2195"/>
      <c r="K291" s="2196"/>
      <c r="L291" s="1214"/>
    </row>
    <row r="292" spans="1:12" ht="12.75" customHeight="1">
      <c r="A292" s="1077"/>
      <c r="B292" s="1086"/>
      <c r="C292" s="1079"/>
      <c r="D292" s="1078"/>
      <c r="E292" s="1078"/>
      <c r="F292" s="1044"/>
      <c r="G292" s="1044"/>
      <c r="H292" s="1044"/>
      <c r="I292" s="1120"/>
      <c r="J292" s="1087"/>
      <c r="K292" s="1228"/>
      <c r="L292" s="1217"/>
    </row>
    <row r="293" spans="1:12" ht="12.75" customHeight="1">
      <c r="A293" s="1036" t="s">
        <v>971</v>
      </c>
      <c r="B293" s="1037"/>
      <c r="C293" s="1037"/>
      <c r="D293" s="1037"/>
      <c r="E293" s="1037"/>
      <c r="F293" s="1037"/>
      <c r="G293" s="1037"/>
      <c r="H293" s="1037"/>
      <c r="I293" s="1037"/>
      <c r="J293" s="1198"/>
    </row>
    <row r="294" spans="1:12" ht="12.75" customHeight="1">
      <c r="A294" s="1036" t="str">
        <f>+A217</f>
        <v>CONTRACT NUMBER: GLM015/2025</v>
      </c>
      <c r="B294" s="1037"/>
      <c r="C294" s="1037"/>
      <c r="D294" s="1037"/>
      <c r="E294" s="1037"/>
      <c r="F294" s="1037"/>
      <c r="G294" s="1037"/>
      <c r="H294" s="1037"/>
      <c r="I294" s="1037"/>
      <c r="J294" s="1198"/>
    </row>
    <row r="295" spans="1:12" ht="12.75" customHeight="1">
      <c r="A295" s="1036" t="str">
        <f>+A3</f>
        <v>CONSTRUCTION OF MAPHALLE LANDFILL SITE PH2</v>
      </c>
      <c r="B295" s="1039"/>
      <c r="C295" s="1039"/>
      <c r="D295" s="1039"/>
      <c r="E295" s="1039"/>
      <c r="F295" s="1039"/>
      <c r="G295" s="1039"/>
      <c r="H295" s="1039"/>
      <c r="I295" s="1039"/>
      <c r="J295" s="1199"/>
    </row>
    <row r="296" spans="1:12" ht="12.75" customHeight="1">
      <c r="A296" s="1036"/>
      <c r="B296" s="1039"/>
      <c r="C296" s="1039"/>
      <c r="D296" s="1039"/>
      <c r="E296" s="1039"/>
      <c r="F296" s="1039"/>
      <c r="G296" s="1039"/>
      <c r="H296" s="1039"/>
      <c r="I296" s="1039"/>
      <c r="J296" s="1199"/>
    </row>
    <row r="297" spans="1:12" ht="12.75" customHeight="1">
      <c r="A297" s="1036" t="s">
        <v>1307</v>
      </c>
      <c r="B297" s="1039"/>
      <c r="C297" s="1039"/>
      <c r="D297" s="1039"/>
      <c r="E297" s="1039"/>
      <c r="F297" s="1039"/>
      <c r="G297" s="1039"/>
      <c r="H297" s="1039"/>
      <c r="I297" s="1039"/>
      <c r="J297" s="1199"/>
    </row>
    <row r="298" spans="1:12" ht="12.75" customHeight="1">
      <c r="A298" s="1080"/>
      <c r="B298" s="1080"/>
      <c r="C298" s="1080"/>
      <c r="D298" s="1080"/>
      <c r="E298" s="1080"/>
      <c r="F298" s="1080"/>
      <c r="G298" s="1080"/>
      <c r="H298" s="1080"/>
      <c r="I298" s="1080"/>
      <c r="J298" s="1201"/>
      <c r="K298" s="1226"/>
      <c r="L298" s="1216"/>
    </row>
    <row r="299" spans="1:12" s="1041" customFormat="1" ht="12.75" customHeight="1">
      <c r="A299" s="2157" t="s">
        <v>111</v>
      </c>
      <c r="B299" s="2157" t="s">
        <v>112</v>
      </c>
      <c r="C299" s="2159" t="s">
        <v>2</v>
      </c>
      <c r="D299" s="2159"/>
      <c r="E299" s="2159"/>
      <c r="F299" s="2159"/>
      <c r="G299" s="2159"/>
      <c r="H299" s="1099" t="s">
        <v>882</v>
      </c>
      <c r="I299" s="2159" t="s">
        <v>3</v>
      </c>
      <c r="J299" s="2161" t="s">
        <v>564</v>
      </c>
      <c r="K299" s="2149" t="s">
        <v>5</v>
      </c>
      <c r="L299" s="1208" t="s">
        <v>565</v>
      </c>
    </row>
    <row r="300" spans="1:12" s="1041" customFormat="1" ht="18.75" customHeight="1">
      <c r="A300" s="2158"/>
      <c r="B300" s="2158"/>
      <c r="C300" s="2160"/>
      <c r="D300" s="2160"/>
      <c r="E300" s="2160"/>
      <c r="F300" s="2160"/>
      <c r="G300" s="2160"/>
      <c r="H300" s="1100" t="s">
        <v>883</v>
      </c>
      <c r="I300" s="2160"/>
      <c r="J300" s="2162"/>
      <c r="K300" s="2150"/>
      <c r="L300" s="1209" t="s">
        <v>6</v>
      </c>
    </row>
    <row r="301" spans="1:12" ht="12.75" customHeight="1">
      <c r="A301" s="1047"/>
      <c r="B301" s="1052"/>
      <c r="C301" s="1059"/>
      <c r="D301" s="1058"/>
      <c r="E301" s="1058"/>
      <c r="G301" s="1045"/>
      <c r="H301" s="1045"/>
      <c r="I301" s="1062"/>
      <c r="J301" s="1046"/>
      <c r="K301" s="1231"/>
      <c r="L301" s="1210"/>
    </row>
    <row r="302" spans="1:12" ht="12.75" customHeight="1">
      <c r="A302" s="1047"/>
      <c r="B302" s="1056" t="s">
        <v>1212</v>
      </c>
      <c r="C302" s="1048" t="s">
        <v>1175</v>
      </c>
      <c r="D302" s="1196"/>
      <c r="E302" s="1196"/>
      <c r="F302" s="1050">
        <f>F225+1</f>
        <v>8</v>
      </c>
      <c r="G302" s="1045"/>
      <c r="H302" s="1045"/>
      <c r="I302" s="1062"/>
      <c r="J302" s="1046"/>
      <c r="K302" s="1130"/>
      <c r="L302" s="1210"/>
    </row>
    <row r="303" spans="1:12" ht="12.75" customHeight="1">
      <c r="A303" s="1241">
        <f>F302</f>
        <v>8</v>
      </c>
      <c r="B303" s="1056" t="s">
        <v>1280</v>
      </c>
      <c r="C303" s="1083" t="s">
        <v>1281</v>
      </c>
      <c r="D303" s="1067"/>
      <c r="E303" s="1058"/>
      <c r="G303" s="1045"/>
      <c r="H303" s="1045"/>
      <c r="I303" s="1062"/>
      <c r="J303" s="1071"/>
      <c r="K303" s="1130"/>
      <c r="L303" s="1210"/>
    </row>
    <row r="304" spans="1:12" ht="12.75" customHeight="1">
      <c r="A304" s="1070"/>
      <c r="B304" s="1052"/>
      <c r="C304" s="1083" t="s">
        <v>1282</v>
      </c>
      <c r="D304" s="1122"/>
      <c r="E304" s="1118"/>
      <c r="F304" s="1096"/>
      <c r="G304" s="1119"/>
      <c r="H304" s="1119"/>
      <c r="I304" s="1062"/>
      <c r="J304" s="1071"/>
      <c r="K304" s="1130"/>
      <c r="L304" s="1210"/>
    </row>
    <row r="305" spans="1:12" ht="12.75" customHeight="1">
      <c r="A305" s="1070"/>
      <c r="B305" s="1052"/>
      <c r="C305" s="1083"/>
      <c r="D305" s="1122"/>
      <c r="E305" s="1118"/>
      <c r="F305" s="1096"/>
      <c r="G305" s="1119"/>
      <c r="H305" s="1119"/>
      <c r="I305" s="1062"/>
      <c r="J305" s="1071"/>
      <c r="K305" s="1130"/>
      <c r="L305" s="1210"/>
    </row>
    <row r="306" spans="1:12" ht="32.25" customHeight="1">
      <c r="A306" s="1070"/>
      <c r="B306" s="1052"/>
      <c r="C306" s="2151" t="s">
        <v>1379</v>
      </c>
      <c r="D306" s="2152"/>
      <c r="E306" s="2152"/>
      <c r="F306" s="2152"/>
      <c r="G306" s="2153"/>
      <c r="H306" s="1119"/>
      <c r="I306" s="1062"/>
      <c r="J306" s="1071"/>
      <c r="K306" s="1130"/>
      <c r="L306" s="1210"/>
    </row>
    <row r="307" spans="1:12" ht="12.75" customHeight="1">
      <c r="A307" s="1070"/>
      <c r="B307" s="1052"/>
      <c r="C307" s="1083"/>
      <c r="D307" s="1067"/>
      <c r="E307" s="1058"/>
      <c r="G307" s="1045"/>
      <c r="H307" s="1045"/>
      <c r="I307" s="1062"/>
      <c r="J307" s="1071"/>
      <c r="K307" s="1130"/>
      <c r="L307" s="1210"/>
    </row>
    <row r="308" spans="1:12" ht="12.75" customHeight="1">
      <c r="A308" s="1070"/>
      <c r="B308" s="1052"/>
      <c r="C308" s="1083"/>
      <c r="D308" s="1123" t="s">
        <v>1283</v>
      </c>
      <c r="E308" s="1054"/>
      <c r="F308" s="1124"/>
      <c r="G308" s="1045"/>
      <c r="H308" s="1045"/>
      <c r="I308" s="1062"/>
      <c r="J308" s="1071"/>
      <c r="K308" s="1130"/>
      <c r="L308" s="1210"/>
    </row>
    <row r="309" spans="1:12" ht="12.75" customHeight="1">
      <c r="A309" s="1063"/>
      <c r="B309" s="1052" t="s">
        <v>1178</v>
      </c>
      <c r="C309" s="1092"/>
      <c r="D309" s="1134" t="s">
        <v>1263</v>
      </c>
      <c r="E309" s="1058"/>
      <c r="G309" s="1045"/>
      <c r="H309" s="1045"/>
      <c r="I309" s="1062"/>
      <c r="J309" s="1046"/>
      <c r="K309" s="1130"/>
      <c r="L309" s="1210"/>
    </row>
    <row r="310" spans="1:12" ht="12.75" customHeight="1">
      <c r="A310" s="1063"/>
      <c r="B310" s="1052"/>
      <c r="C310" s="1092"/>
      <c r="D310" s="1093"/>
      <c r="E310" s="1058"/>
      <c r="G310" s="1045"/>
      <c r="H310" s="1045"/>
      <c r="I310" s="1062"/>
      <c r="J310" s="1046"/>
      <c r="K310" s="1130"/>
      <c r="L310" s="1210"/>
    </row>
    <row r="311" spans="1:12" ht="40.5" customHeight="1">
      <c r="A311" s="1063"/>
      <c r="B311" s="1052"/>
      <c r="C311" s="1092"/>
      <c r="D311" s="2171" t="s">
        <v>1284</v>
      </c>
      <c r="E311" s="2184"/>
      <c r="F311" s="2184"/>
      <c r="G311" s="2184"/>
      <c r="H311" s="1127"/>
      <c r="I311" s="1062"/>
      <c r="J311" s="1046"/>
      <c r="K311" s="1130"/>
      <c r="L311" s="1210"/>
    </row>
    <row r="312" spans="1:12" ht="12.75" customHeight="1">
      <c r="A312" s="1046"/>
      <c r="B312" s="1094"/>
      <c r="C312" s="1092"/>
      <c r="D312" s="1066"/>
      <c r="E312" s="1058"/>
      <c r="H312" s="1097"/>
      <c r="I312" s="1062"/>
      <c r="J312" s="1046"/>
      <c r="K312" s="1130"/>
      <c r="L312" s="1210"/>
    </row>
    <row r="313" spans="1:12" ht="12.75" customHeight="1">
      <c r="A313" s="1046">
        <v>8.1</v>
      </c>
      <c r="B313" s="1052"/>
      <c r="C313" s="1051"/>
      <c r="D313" s="1058" t="s">
        <v>1300</v>
      </c>
      <c r="E313" s="1058"/>
      <c r="F313" s="1058"/>
      <c r="H313" s="1097"/>
      <c r="I313" s="1137" t="s">
        <v>877</v>
      </c>
      <c r="J313" s="1046">
        <v>40</v>
      </c>
      <c r="K313" s="1130"/>
      <c r="L313" s="1210"/>
    </row>
    <row r="314" spans="1:12" ht="12.75" customHeight="1">
      <c r="A314" s="1046"/>
      <c r="B314" s="1052"/>
      <c r="C314" s="1057"/>
      <c r="D314" s="1058"/>
      <c r="E314" s="1058"/>
      <c r="F314" s="1058"/>
      <c r="H314" s="1097"/>
      <c r="I314" s="1062"/>
      <c r="J314" s="1046"/>
      <c r="K314" s="1130"/>
      <c r="L314" s="1210"/>
    </row>
    <row r="315" spans="1:12" ht="12.75" customHeight="1">
      <c r="A315" s="1046">
        <v>8.1999999999999993</v>
      </c>
      <c r="B315" s="1052"/>
      <c r="C315" s="1053"/>
      <c r="D315" s="1058" t="s">
        <v>1285</v>
      </c>
      <c r="E315" s="1058"/>
      <c r="F315" s="1058"/>
      <c r="H315" s="1097"/>
      <c r="I315" s="1137" t="s">
        <v>877</v>
      </c>
      <c r="J315" s="1046">
        <v>40</v>
      </c>
      <c r="K315" s="1130"/>
      <c r="L315" s="1210"/>
    </row>
    <row r="316" spans="1:12" ht="12.75" customHeight="1">
      <c r="A316" s="1046"/>
      <c r="B316" s="1052"/>
      <c r="C316" s="1053"/>
      <c r="D316" s="1058"/>
      <c r="E316" s="1058"/>
      <c r="F316" s="1058"/>
      <c r="H316" s="1097"/>
      <c r="I316" s="1062"/>
      <c r="J316" s="1046"/>
      <c r="K316" s="1130"/>
      <c r="L316" s="1210"/>
    </row>
    <row r="317" spans="1:12" ht="12.75" customHeight="1">
      <c r="A317" s="1046"/>
      <c r="B317" s="1052"/>
      <c r="C317" s="1053"/>
      <c r="D317" s="1058" t="s">
        <v>1244</v>
      </c>
      <c r="E317" s="1058" t="s">
        <v>1286</v>
      </c>
      <c r="F317" s="1058"/>
      <c r="H317" s="1097"/>
      <c r="I317" s="1062"/>
      <c r="J317" s="1046"/>
      <c r="K317" s="1130"/>
      <c r="L317" s="1210"/>
    </row>
    <row r="318" spans="1:12" ht="38.25" customHeight="1">
      <c r="A318" s="1046">
        <v>8.3000000000000007</v>
      </c>
      <c r="B318" s="1052"/>
      <c r="C318" s="1053"/>
      <c r="D318" s="1058"/>
      <c r="E318" s="1107" t="s">
        <v>1182</v>
      </c>
      <c r="F318" s="2171" t="s">
        <v>1345</v>
      </c>
      <c r="G318" s="2171"/>
      <c r="H318" s="1128"/>
      <c r="I318" s="1137" t="s">
        <v>877</v>
      </c>
      <c r="J318" s="1046">
        <f>J313+J315</f>
        <v>80</v>
      </c>
      <c r="K318" s="1130"/>
      <c r="L318" s="1210"/>
    </row>
    <row r="319" spans="1:12" ht="20.25" customHeight="1">
      <c r="A319" s="1046"/>
      <c r="B319" s="1052"/>
      <c r="C319" s="1053"/>
      <c r="D319" s="1058"/>
      <c r="E319" s="1107"/>
      <c r="F319" s="1108"/>
      <c r="G319" s="1108"/>
      <c r="H319" s="1128"/>
      <c r="I319" s="1062"/>
      <c r="J319" s="1046"/>
      <c r="K319" s="1130"/>
      <c r="L319" s="1210"/>
    </row>
    <row r="320" spans="1:12" ht="18" customHeight="1">
      <c r="A320" s="1046">
        <v>8.4</v>
      </c>
      <c r="B320" s="1052"/>
      <c r="C320" s="1053"/>
      <c r="D320" s="1058"/>
      <c r="E320" s="1107" t="s">
        <v>1185</v>
      </c>
      <c r="F320" s="1058" t="s">
        <v>1287</v>
      </c>
      <c r="H320" s="1097"/>
      <c r="I320" s="1137" t="s">
        <v>877</v>
      </c>
      <c r="J320" s="1046">
        <f>J313+J315</f>
        <v>80</v>
      </c>
      <c r="K320" s="1130"/>
      <c r="L320" s="1210"/>
    </row>
    <row r="321" spans="1:12" ht="12.75" customHeight="1">
      <c r="A321" s="1046"/>
      <c r="B321" s="1052"/>
      <c r="C321" s="1053"/>
      <c r="D321" s="1058"/>
      <c r="E321" s="1107"/>
      <c r="F321" s="1058"/>
      <c r="H321" s="1097"/>
      <c r="I321" s="1062"/>
      <c r="J321" s="1046"/>
      <c r="K321" s="1130"/>
      <c r="L321" s="1210"/>
    </row>
    <row r="322" spans="1:12" ht="12.75" customHeight="1">
      <c r="A322" s="1110"/>
      <c r="B322" s="1072"/>
      <c r="C322" s="1054"/>
      <c r="D322" s="1058" t="s">
        <v>1222</v>
      </c>
      <c r="E322" s="1107" t="s">
        <v>1288</v>
      </c>
      <c r="F322" s="1058"/>
      <c r="H322" s="1097"/>
      <c r="I322" s="1062"/>
      <c r="J322" s="1046"/>
      <c r="K322" s="1130"/>
      <c r="L322" s="1210"/>
    </row>
    <row r="323" spans="1:12" ht="36.75" customHeight="1">
      <c r="A323" s="1110">
        <v>8.5</v>
      </c>
      <c r="B323" s="1072"/>
      <c r="C323" s="1054"/>
      <c r="D323" s="1058"/>
      <c r="E323" s="1069" t="s">
        <v>1182</v>
      </c>
      <c r="F323" s="2171" t="s">
        <v>1289</v>
      </c>
      <c r="G323" s="2171"/>
      <c r="H323" s="1128"/>
      <c r="I323" s="1062" t="s">
        <v>136</v>
      </c>
      <c r="J323" s="1046">
        <v>150</v>
      </c>
      <c r="K323" s="1130"/>
      <c r="L323" s="1210"/>
    </row>
    <row r="324" spans="1:12" ht="18" customHeight="1">
      <c r="A324" s="1204"/>
      <c r="B324" s="1072"/>
      <c r="C324" s="1054"/>
      <c r="D324" s="1058"/>
      <c r="E324" s="1069"/>
      <c r="F324" s="1108"/>
      <c r="G324" s="1108"/>
      <c r="H324" s="1128"/>
      <c r="I324" s="1062"/>
      <c r="J324" s="1046"/>
      <c r="K324" s="1130"/>
      <c r="L324" s="1210"/>
    </row>
    <row r="325" spans="1:12" ht="26.25" customHeight="1">
      <c r="A325" s="1041">
        <v>8.6</v>
      </c>
      <c r="B325" s="1046"/>
      <c r="E325" s="1107" t="s">
        <v>1185</v>
      </c>
      <c r="F325" s="2185" t="s">
        <v>1290</v>
      </c>
      <c r="G325" s="2185"/>
      <c r="H325" s="1129"/>
      <c r="I325" s="1062" t="s">
        <v>136</v>
      </c>
      <c r="J325" s="1046">
        <v>40</v>
      </c>
      <c r="K325" s="1130"/>
      <c r="L325" s="1210"/>
    </row>
    <row r="326" spans="1:12" ht="17.25" customHeight="1">
      <c r="B326" s="1046"/>
      <c r="E326" s="1107"/>
      <c r="F326" s="1125"/>
      <c r="G326" s="1125"/>
      <c r="H326" s="1129"/>
      <c r="I326" s="1062"/>
      <c r="J326" s="1046"/>
      <c r="K326" s="1130"/>
      <c r="L326" s="1210"/>
    </row>
    <row r="327" spans="1:12" ht="26.25" customHeight="1">
      <c r="A327" s="1041">
        <v>8.6999999999999993</v>
      </c>
      <c r="B327" s="1046"/>
      <c r="E327" s="1107" t="s">
        <v>1291</v>
      </c>
      <c r="F327" s="2185" t="s">
        <v>1292</v>
      </c>
      <c r="G327" s="2185"/>
      <c r="H327" s="1129"/>
      <c r="I327" s="1046" t="s">
        <v>138</v>
      </c>
      <c r="J327" s="1046">
        <v>30</v>
      </c>
      <c r="K327" s="1130"/>
      <c r="L327" s="1210"/>
    </row>
    <row r="328" spans="1:12" ht="21.75" customHeight="1">
      <c r="A328" s="1110"/>
      <c r="B328" s="1072"/>
      <c r="C328" s="1054"/>
      <c r="D328" s="1058"/>
      <c r="E328" s="1069"/>
      <c r="F328" s="1108"/>
      <c r="G328" s="1108"/>
      <c r="H328" s="1128"/>
      <c r="I328" s="1062"/>
      <c r="J328" s="1046"/>
      <c r="K328" s="1130"/>
      <c r="L328" s="1210"/>
    </row>
    <row r="329" spans="1:12" ht="12.75" customHeight="1">
      <c r="A329" s="1110"/>
      <c r="B329" s="1072"/>
      <c r="C329" s="1054"/>
      <c r="D329" s="1049" t="s">
        <v>1293</v>
      </c>
      <c r="E329" s="1058"/>
      <c r="F329" s="1058"/>
      <c r="H329" s="1097"/>
      <c r="I329" s="1062"/>
      <c r="J329" s="1046"/>
      <c r="K329" s="1130"/>
      <c r="L329" s="1210"/>
    </row>
    <row r="330" spans="1:12" ht="12.75" customHeight="1">
      <c r="A330" s="1110"/>
      <c r="B330" s="1072"/>
      <c r="C330" s="1058"/>
      <c r="D330" s="1058"/>
      <c r="E330" s="1058"/>
      <c r="F330" s="1058"/>
      <c r="H330" s="1097"/>
      <c r="I330" s="1062"/>
      <c r="J330" s="1046"/>
      <c r="K330" s="1130"/>
      <c r="L330" s="1210"/>
    </row>
    <row r="331" spans="1:12" ht="27" customHeight="1">
      <c r="A331" s="1046">
        <v>8.8000000000000007</v>
      </c>
      <c r="B331" s="1052"/>
      <c r="C331" s="1053"/>
      <c r="D331" s="1126" t="s">
        <v>1294</v>
      </c>
      <c r="E331" s="2171" t="s">
        <v>1328</v>
      </c>
      <c r="F331" s="2171"/>
      <c r="G331" s="2171"/>
      <c r="H331" s="1128"/>
      <c r="I331" s="1137" t="s">
        <v>136</v>
      </c>
      <c r="J331" s="1138">
        <f>60*4</f>
        <v>240</v>
      </c>
      <c r="K331" s="1185"/>
      <c r="L331" s="1211"/>
    </row>
    <row r="332" spans="1:12" ht="12.75" customHeight="1">
      <c r="A332" s="1046"/>
      <c r="B332" s="1052"/>
      <c r="C332" s="1053"/>
      <c r="D332" s="1058"/>
      <c r="E332" s="1058"/>
      <c r="F332" s="1058"/>
      <c r="H332" s="1097"/>
      <c r="I332" s="1062"/>
      <c r="J332" s="1046"/>
      <c r="K332" s="1130"/>
      <c r="L332" s="1210"/>
    </row>
    <row r="333" spans="1:12" ht="12.75" customHeight="1">
      <c r="A333" s="1046"/>
      <c r="B333" s="1052"/>
      <c r="C333" s="1057"/>
      <c r="D333" s="1049" t="s">
        <v>1295</v>
      </c>
      <c r="E333" s="1058"/>
      <c r="F333" s="1058"/>
      <c r="H333" s="1097"/>
      <c r="I333" s="1062"/>
      <c r="J333" s="1046"/>
      <c r="K333" s="1130"/>
      <c r="L333" s="1210"/>
    </row>
    <row r="334" spans="1:12" ht="12.75" customHeight="1">
      <c r="A334" s="1046"/>
      <c r="B334" s="1052"/>
      <c r="C334" s="1053"/>
      <c r="D334" s="1058"/>
      <c r="E334" s="1058"/>
      <c r="F334" s="1058"/>
      <c r="H334" s="1097"/>
      <c r="I334" s="1062"/>
      <c r="J334" s="1046"/>
      <c r="K334" s="1130"/>
      <c r="L334" s="1210"/>
    </row>
    <row r="335" spans="1:12" ht="12.75" customHeight="1">
      <c r="A335" s="1046"/>
      <c r="B335" s="1052"/>
      <c r="C335" s="1053"/>
      <c r="D335" s="1058" t="s">
        <v>1296</v>
      </c>
      <c r="E335" s="1058"/>
      <c r="F335" s="1058"/>
      <c r="H335" s="1097"/>
      <c r="I335" s="1062"/>
      <c r="J335" s="1046"/>
      <c r="K335" s="1130"/>
      <c r="L335" s="1210"/>
    </row>
    <row r="336" spans="1:12" ht="57.75" customHeight="1">
      <c r="A336" s="1046">
        <v>8.9</v>
      </c>
      <c r="B336" s="1052"/>
      <c r="C336" s="1057"/>
      <c r="D336" s="1058" t="s">
        <v>1180</v>
      </c>
      <c r="E336" s="2171" t="s">
        <v>1297</v>
      </c>
      <c r="F336" s="2171"/>
      <c r="G336" s="2171"/>
      <c r="H336" s="1128"/>
      <c r="I336" s="1062" t="s">
        <v>138</v>
      </c>
      <c r="J336" s="1046">
        <v>6</v>
      </c>
      <c r="K336" s="1130"/>
      <c r="L336" s="1210"/>
    </row>
    <row r="337" spans="1:12" ht="17.25" customHeight="1">
      <c r="A337" s="1046"/>
      <c r="B337" s="1052"/>
      <c r="C337" s="1057"/>
      <c r="D337" s="1058"/>
      <c r="E337" s="1108"/>
      <c r="F337" s="1108"/>
      <c r="G337" s="1108"/>
      <c r="H337" s="1128"/>
      <c r="I337" s="1062"/>
      <c r="J337" s="1046"/>
      <c r="K337" s="1130"/>
      <c r="L337" s="1210"/>
    </row>
    <row r="338" spans="1:12" ht="12.75" customHeight="1">
      <c r="A338" s="1046"/>
      <c r="B338" s="1052"/>
      <c r="C338" s="1053"/>
      <c r="D338" s="1049" t="s">
        <v>1298</v>
      </c>
      <c r="E338" s="1058"/>
      <c r="F338" s="1058"/>
      <c r="G338" s="1143"/>
      <c r="H338" s="1097"/>
      <c r="I338" s="1062"/>
      <c r="J338" s="1046"/>
      <c r="K338" s="1130"/>
      <c r="L338" s="1210"/>
    </row>
    <row r="339" spans="1:12" ht="12.75" customHeight="1">
      <c r="A339" s="1046"/>
      <c r="B339" s="1052"/>
      <c r="C339" s="1053"/>
      <c r="D339" s="1049"/>
      <c r="E339" s="1058"/>
      <c r="F339" s="1058"/>
      <c r="G339" s="1143"/>
      <c r="H339" s="1097"/>
      <c r="I339" s="1062"/>
      <c r="J339" s="1046"/>
      <c r="K339" s="1130"/>
      <c r="L339" s="1210"/>
    </row>
    <row r="340" spans="1:12" ht="12.75" customHeight="1">
      <c r="A340" s="1242" t="s">
        <v>1362</v>
      </c>
      <c r="B340" s="1052"/>
      <c r="C340" s="1053"/>
      <c r="D340" s="1058" t="s">
        <v>1180</v>
      </c>
      <c r="E340" s="1058" t="s">
        <v>1299</v>
      </c>
      <c r="F340" s="1058"/>
      <c r="G340" s="1143"/>
      <c r="H340" s="1097"/>
      <c r="I340" s="1062" t="s">
        <v>136</v>
      </c>
      <c r="J340" s="1046">
        <v>50</v>
      </c>
      <c r="K340" s="1130"/>
      <c r="L340" s="1210"/>
    </row>
    <row r="341" spans="1:12" ht="12.75" customHeight="1">
      <c r="A341" s="1046"/>
      <c r="B341" s="1052"/>
      <c r="C341" s="1053"/>
      <c r="D341" s="1058"/>
      <c r="E341" s="1058"/>
      <c r="F341" s="1058"/>
      <c r="G341" s="1143"/>
      <c r="H341" s="1097"/>
      <c r="I341" s="1062"/>
      <c r="J341" s="1046"/>
      <c r="K341" s="1130"/>
      <c r="L341" s="1210"/>
    </row>
    <row r="342" spans="1:12" ht="12.75" customHeight="1">
      <c r="A342" s="1046"/>
      <c r="B342" s="1052"/>
      <c r="C342" s="1053"/>
      <c r="D342" s="1049" t="s">
        <v>1353</v>
      </c>
      <c r="E342" s="1058"/>
      <c r="F342" s="1058"/>
      <c r="G342" s="1143"/>
      <c r="H342" s="1097"/>
      <c r="I342" s="1062"/>
      <c r="J342" s="1046"/>
      <c r="K342" s="1130"/>
      <c r="L342" s="1210"/>
    </row>
    <row r="343" spans="1:12" ht="21" customHeight="1">
      <c r="A343" s="1046">
        <v>8.11</v>
      </c>
      <c r="B343" s="1052"/>
      <c r="C343" s="1053"/>
      <c r="D343" s="1165" t="s">
        <v>1180</v>
      </c>
      <c r="E343" s="2179" t="s">
        <v>1330</v>
      </c>
      <c r="F343" s="2179"/>
      <c r="G343" s="2200"/>
      <c r="H343" s="1166"/>
      <c r="I343" s="1137" t="s">
        <v>877</v>
      </c>
      <c r="J343" s="1138">
        <f>(4*4)*2.5</f>
        <v>40</v>
      </c>
      <c r="K343" s="1185"/>
      <c r="L343" s="1211"/>
    </row>
    <row r="344" spans="1:12" ht="12.75" customHeight="1">
      <c r="A344" s="1046"/>
      <c r="B344" s="1258" t="s">
        <v>987</v>
      </c>
      <c r="C344" s="1057"/>
      <c r="D344" s="1038" t="s">
        <v>51</v>
      </c>
      <c r="F344" s="1058"/>
      <c r="G344" s="1045"/>
      <c r="H344" s="1045"/>
      <c r="I344" s="1062"/>
      <c r="J344" s="1046"/>
      <c r="K344" s="1130"/>
      <c r="L344" s="1210"/>
    </row>
    <row r="345" spans="1:12" ht="12.75" customHeight="1">
      <c r="A345" s="1046"/>
      <c r="B345" s="1042"/>
      <c r="C345" s="1043"/>
      <c r="G345" s="1045"/>
      <c r="H345" s="1045"/>
      <c r="I345" s="1046"/>
      <c r="J345" s="1046"/>
      <c r="K345" s="1130"/>
      <c r="L345" s="1210"/>
    </row>
    <row r="346" spans="1:12" ht="12.75" customHeight="1">
      <c r="A346" s="1046"/>
      <c r="B346" s="1042"/>
      <c r="C346" s="1196"/>
      <c r="D346" s="1038" t="s">
        <v>1786</v>
      </c>
      <c r="E346" s="1084"/>
      <c r="F346" s="1050"/>
      <c r="G346" s="1085"/>
      <c r="H346" s="1085"/>
      <c r="I346" s="1062" t="s">
        <v>871</v>
      </c>
      <c r="J346" s="1114">
        <v>1</v>
      </c>
      <c r="K346" s="1130">
        <v>3000000</v>
      </c>
      <c r="L346" s="1210">
        <f>K346*J346</f>
        <v>3000000</v>
      </c>
    </row>
    <row r="347" spans="1:12" ht="12.75" customHeight="1">
      <c r="A347" s="1046"/>
      <c r="B347" s="1042"/>
      <c r="C347" s="1051"/>
      <c r="D347" s="1084"/>
      <c r="E347" s="1084"/>
      <c r="F347" s="1084"/>
      <c r="G347" s="1085"/>
      <c r="H347" s="1085"/>
      <c r="I347" s="1046"/>
      <c r="J347" s="1046"/>
      <c r="K347" s="1130"/>
      <c r="L347" s="1210"/>
    </row>
    <row r="348" spans="1:12" ht="12.75" customHeight="1">
      <c r="A348" s="1046"/>
      <c r="B348" s="1042"/>
      <c r="C348" s="1098"/>
      <c r="D348" s="1038" t="s">
        <v>1388</v>
      </c>
      <c r="E348" s="1084"/>
      <c r="F348" s="1084"/>
      <c r="G348" s="1085"/>
      <c r="H348" s="1085"/>
      <c r="I348" s="1259" t="s">
        <v>55</v>
      </c>
      <c r="J348" s="1010">
        <f>+L346</f>
        <v>3000000</v>
      </c>
      <c r="K348" s="1260"/>
      <c r="L348" s="200"/>
    </row>
    <row r="349" spans="1:12" ht="40.5" customHeight="1">
      <c r="A349" s="2194" t="s">
        <v>1308</v>
      </c>
      <c r="B349" s="2195"/>
      <c r="C349" s="2195"/>
      <c r="D349" s="2195"/>
      <c r="E349" s="2195"/>
      <c r="F349" s="2195"/>
      <c r="G349" s="2195"/>
      <c r="H349" s="2195"/>
      <c r="I349" s="2195"/>
      <c r="J349" s="2195"/>
      <c r="K349" s="2196"/>
      <c r="L349" s="1214"/>
    </row>
    <row r="355" spans="3:9">
      <c r="C355" s="1038" t="s">
        <v>50</v>
      </c>
    </row>
    <row r="357" spans="3:9">
      <c r="C357" s="1038" t="s">
        <v>52</v>
      </c>
      <c r="D357" s="1038" t="s">
        <v>1386</v>
      </c>
      <c r="F357" s="1038" t="s">
        <v>205</v>
      </c>
      <c r="G357" s="1038">
        <v>1</v>
      </c>
      <c r="H357" s="1038">
        <v>400000</v>
      </c>
      <c r="I357" s="1041">
        <v>400000</v>
      </c>
    </row>
    <row r="359" spans="3:9">
      <c r="C359" s="1038" t="s">
        <v>50</v>
      </c>
      <c r="D359" s="1038" t="s">
        <v>54</v>
      </c>
      <c r="F359" s="1038" t="s">
        <v>55</v>
      </c>
      <c r="G359" s="1038">
        <v>100000</v>
      </c>
      <c r="H359" s="1038">
        <v>0.1</v>
      </c>
      <c r="I359" s="1041">
        <v>10000</v>
      </c>
    </row>
  </sheetData>
  <mergeCells count="74">
    <mergeCell ref="E274:G274"/>
    <mergeCell ref="C104:G104"/>
    <mergeCell ref="C138:G138"/>
    <mergeCell ref="A349:K349"/>
    <mergeCell ref="A291:K291"/>
    <mergeCell ref="A214:K214"/>
    <mergeCell ref="E343:G343"/>
    <mergeCell ref="E276:G276"/>
    <mergeCell ref="C146:G146"/>
    <mergeCell ref="E159:G159"/>
    <mergeCell ref="E160:G160"/>
    <mergeCell ref="E161:G161"/>
    <mergeCell ref="E165:G165"/>
    <mergeCell ref="E331:G331"/>
    <mergeCell ref="E336:G336"/>
    <mergeCell ref="E279:G279"/>
    <mergeCell ref="D311:G311"/>
    <mergeCell ref="F318:G318"/>
    <mergeCell ref="F323:G323"/>
    <mergeCell ref="F325:G325"/>
    <mergeCell ref="F327:G327"/>
    <mergeCell ref="A7:A8"/>
    <mergeCell ref="C7:G8"/>
    <mergeCell ref="I7:I8"/>
    <mergeCell ref="J7:J8"/>
    <mergeCell ref="C102:G102"/>
    <mergeCell ref="A89:K89"/>
    <mergeCell ref="B7:B8"/>
    <mergeCell ref="K7:K8"/>
    <mergeCell ref="E134:G134"/>
    <mergeCell ref="A97:A98"/>
    <mergeCell ref="B97:B98"/>
    <mergeCell ref="C97:G98"/>
    <mergeCell ref="A177:K177"/>
    <mergeCell ref="C108:G108"/>
    <mergeCell ref="E167:G167"/>
    <mergeCell ref="E129:G129"/>
    <mergeCell ref="E130:G130"/>
    <mergeCell ref="E131:G131"/>
    <mergeCell ref="E132:G132"/>
    <mergeCell ref="E136:G136"/>
    <mergeCell ref="C140:G140"/>
    <mergeCell ref="J175:J176"/>
    <mergeCell ref="K175:K176"/>
    <mergeCell ref="A168:K168"/>
    <mergeCell ref="C229:G229"/>
    <mergeCell ref="F262:G262"/>
    <mergeCell ref="A222:A223"/>
    <mergeCell ref="B222:B223"/>
    <mergeCell ref="C222:G223"/>
    <mergeCell ref="F260:G260"/>
    <mergeCell ref="I222:I223"/>
    <mergeCell ref="J222:J223"/>
    <mergeCell ref="K222:K223"/>
    <mergeCell ref="C181:G181"/>
    <mergeCell ref="D185:G185"/>
    <mergeCell ref="D189:G189"/>
    <mergeCell ref="D190:G190"/>
    <mergeCell ref="K299:K300"/>
    <mergeCell ref="C306:G306"/>
    <mergeCell ref="C182:G182"/>
    <mergeCell ref="C13:G13"/>
    <mergeCell ref="A299:A300"/>
    <mergeCell ref="B299:B300"/>
    <mergeCell ref="C299:G300"/>
    <mergeCell ref="I299:I300"/>
    <mergeCell ref="J299:J300"/>
    <mergeCell ref="I97:I98"/>
    <mergeCell ref="J97:J98"/>
    <mergeCell ref="K97:K98"/>
    <mergeCell ref="A175:A176"/>
    <mergeCell ref="B175:B176"/>
    <mergeCell ref="C175:G176"/>
    <mergeCell ref="I175:I176"/>
  </mergeCells>
  <phoneticPr fontId="78" type="noConversion"/>
  <pageMargins left="0.70866141732283472" right="0.70866141732283472" top="0.74803149606299213" bottom="0.74803149606299213" header="0.31496062992125984" footer="0.31496062992125984"/>
  <pageSetup paperSize="9" scale="51" fitToHeight="0" orientation="portrait" r:id="rId1"/>
  <headerFooter scaleWithDoc="0" alignWithMargins="0">
    <oddHeader>&amp;C&amp;"Arial Narrow,Regular"&amp;10C80.13</oddHeader>
  </headerFooter>
  <rowBreaks count="4" manualBreakCount="4">
    <brk id="89" max="18" man="1"/>
    <brk id="168" max="11" man="1"/>
    <brk id="214" max="11" man="1"/>
    <brk id="29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view="pageBreakPreview" zoomScaleNormal="100" zoomScaleSheetLayoutView="100" workbookViewId="0">
      <pane ySplit="8" topLeftCell="A34" activePane="bottomLeft" state="frozen"/>
      <selection activeCell="H47" sqref="H47"/>
      <selection pane="bottomLeft" activeCell="J52" sqref="J52"/>
    </sheetView>
  </sheetViews>
  <sheetFormatPr defaultColWidth="9.109375" defaultRowHeight="17.100000000000001" customHeight="1"/>
  <cols>
    <col min="1" max="1" width="9" style="1268" customWidth="1"/>
    <col min="2" max="2" width="41.5546875" style="1268" customWidth="1"/>
    <col min="3" max="3" width="8.5546875" style="1268" customWidth="1"/>
    <col min="4" max="4" width="9.88671875" style="1268" customWidth="1"/>
    <col min="5" max="5" width="12.6640625" style="1268" customWidth="1"/>
    <col min="6" max="6" width="13.6640625" style="1268" customWidth="1"/>
    <col min="7" max="16384" width="9.109375" style="1268"/>
  </cols>
  <sheetData>
    <row r="1" spans="1:7" s="1265" customFormat="1" ht="15" customHeight="1">
      <c r="A1" s="2027" t="str">
        <f>+'5-Structural Works'!A1</f>
        <v>GREATER LETABA MUNICIPALITY</v>
      </c>
      <c r="B1" s="1261"/>
      <c r="C1" s="1262"/>
      <c r="D1" s="1262"/>
      <c r="E1" s="1262"/>
      <c r="F1" s="1263"/>
      <c r="G1" s="1264"/>
    </row>
    <row r="2" spans="1:7" s="1265" customFormat="1" ht="12" customHeight="1">
      <c r="A2" s="2204" t="str">
        <f>+'5-Structural Works'!A2</f>
        <v>CONTRACT NUMBER: GLM015/2025</v>
      </c>
      <c r="B2" s="2204"/>
      <c r="C2" s="1262"/>
      <c r="D2" s="1262"/>
      <c r="E2" s="1262"/>
      <c r="F2" s="1262"/>
      <c r="G2" s="1264"/>
    </row>
    <row r="3" spans="1:7" ht="15" customHeight="1">
      <c r="A3" s="1266" t="s">
        <v>1389</v>
      </c>
      <c r="B3" s="1267"/>
      <c r="C3" s="1267"/>
      <c r="D3" s="1267"/>
      <c r="E3" s="1267"/>
      <c r="F3" s="1267"/>
    </row>
    <row r="4" spans="1:7" ht="15" customHeight="1">
      <c r="A4" s="1269" t="s">
        <v>1390</v>
      </c>
      <c r="C4" s="1267"/>
      <c r="D4" s="1267"/>
      <c r="E4" s="1267"/>
      <c r="F4" s="1267"/>
    </row>
    <row r="5" spans="1:7" ht="15" customHeight="1">
      <c r="A5" s="1266" t="s">
        <v>1391</v>
      </c>
      <c r="C5" s="1267"/>
      <c r="D5" s="1267"/>
      <c r="E5" s="1267"/>
      <c r="F5" s="1267"/>
    </row>
    <row r="6" spans="1:7" s="1265" customFormat="1" ht="13.5" customHeight="1">
      <c r="A6" s="1270"/>
      <c r="B6" s="1270"/>
      <c r="C6" s="1271"/>
      <c r="D6" s="1271"/>
      <c r="E6" s="1272"/>
      <c r="F6" s="1273"/>
      <c r="G6" s="1264"/>
    </row>
    <row r="7" spans="1:7" s="1265" customFormat="1" ht="12">
      <c r="A7" s="1271"/>
      <c r="B7" s="1270"/>
      <c r="C7" s="1271"/>
      <c r="D7" s="2201"/>
      <c r="E7" s="2202"/>
      <c r="F7" s="2203"/>
    </row>
    <row r="8" spans="1:7" s="1277" customFormat="1" ht="15" customHeight="1">
      <c r="A8" s="1274" t="s">
        <v>0</v>
      </c>
      <c r="B8" s="1274" t="s">
        <v>2</v>
      </c>
      <c r="C8" s="1274" t="s">
        <v>3</v>
      </c>
      <c r="D8" s="1274" t="s">
        <v>4</v>
      </c>
      <c r="E8" s="1275" t="s">
        <v>5</v>
      </c>
      <c r="F8" s="1276" t="s">
        <v>6</v>
      </c>
    </row>
    <row r="9" spans="1:7" ht="12.75" customHeight="1">
      <c r="A9" s="1278"/>
      <c r="B9" s="1278"/>
      <c r="C9" s="1262"/>
      <c r="D9" s="1279"/>
      <c r="E9" s="1272"/>
      <c r="F9" s="1280"/>
    </row>
    <row r="10" spans="1:7" ht="12.75" customHeight="1">
      <c r="A10" s="1281">
        <v>1500</v>
      </c>
      <c r="B10" s="1282" t="s">
        <v>1392</v>
      </c>
      <c r="C10" s="1283"/>
      <c r="D10" s="1284"/>
      <c r="E10" s="1285"/>
      <c r="F10" s="1286"/>
    </row>
    <row r="11" spans="1:7" ht="11.1" customHeight="1">
      <c r="A11" s="1281"/>
      <c r="B11" s="1282"/>
      <c r="C11" s="1283"/>
      <c r="D11" s="1287"/>
      <c r="E11" s="1285"/>
      <c r="F11" s="1288"/>
    </row>
    <row r="12" spans="1:7" ht="12.75" customHeight="1">
      <c r="A12" s="1281">
        <v>15.01</v>
      </c>
      <c r="B12" s="1282" t="s">
        <v>1393</v>
      </c>
      <c r="C12" s="1283"/>
      <c r="D12" s="1284"/>
      <c r="E12" s="1285"/>
      <c r="F12" s="1286"/>
    </row>
    <row r="13" spans="1:7" ht="12.75" customHeight="1">
      <c r="A13" s="1281"/>
      <c r="B13" s="1282" t="s">
        <v>1394</v>
      </c>
      <c r="C13" s="1289" t="s">
        <v>1395</v>
      </c>
      <c r="D13" s="1290">
        <v>1.5</v>
      </c>
      <c r="E13" s="1285"/>
      <c r="F13" s="1288"/>
    </row>
    <row r="14" spans="1:7" ht="12.75" customHeight="1">
      <c r="A14" s="1281"/>
      <c r="B14" s="1282"/>
      <c r="C14" s="1283"/>
      <c r="D14" s="1290"/>
      <c r="E14" s="1285"/>
      <c r="F14" s="1286"/>
    </row>
    <row r="15" spans="1:7" ht="12.75" customHeight="1">
      <c r="A15" s="1281">
        <v>15.02</v>
      </c>
      <c r="B15" s="1282" t="s">
        <v>1396</v>
      </c>
      <c r="C15" s="1283"/>
      <c r="D15" s="1290"/>
      <c r="E15" s="1285"/>
      <c r="F15" s="1288"/>
    </row>
    <row r="16" spans="1:7" ht="12.75" customHeight="1">
      <c r="A16" s="1281"/>
      <c r="B16" s="1282"/>
      <c r="C16" s="1283"/>
      <c r="D16" s="1290"/>
      <c r="E16" s="1285"/>
      <c r="F16" s="1288"/>
    </row>
    <row r="17" spans="1:10" ht="12.75" customHeight="1">
      <c r="A17" s="1281"/>
      <c r="B17" s="1282" t="s">
        <v>1397</v>
      </c>
      <c r="C17" s="1283" t="s">
        <v>1395</v>
      </c>
      <c r="D17" s="1290">
        <v>1.5</v>
      </c>
      <c r="E17" s="1285"/>
      <c r="F17" s="1288"/>
    </row>
    <row r="18" spans="1:10" ht="12.75" customHeight="1">
      <c r="A18" s="1281"/>
      <c r="B18" s="1282"/>
      <c r="C18" s="1283"/>
      <c r="D18" s="1284"/>
      <c r="E18" s="1285"/>
      <c r="F18" s="1286"/>
    </row>
    <row r="19" spans="1:10" ht="12.75" customHeight="1">
      <c r="A19" s="1281"/>
      <c r="B19" s="1282" t="s">
        <v>1398</v>
      </c>
      <c r="C19" s="1283" t="s">
        <v>1399</v>
      </c>
      <c r="D19" s="1284">
        <f>1500*6*0.15</f>
        <v>1350</v>
      </c>
      <c r="E19" s="1285"/>
      <c r="F19" s="1288"/>
    </row>
    <row r="20" spans="1:10" ht="12.75" customHeight="1">
      <c r="A20" s="1281"/>
      <c r="B20" s="1282"/>
      <c r="C20" s="1283"/>
      <c r="D20" s="1284"/>
      <c r="E20" s="1285"/>
      <c r="F20" s="1286"/>
    </row>
    <row r="21" spans="1:10" ht="12.75" customHeight="1">
      <c r="A21" s="1281"/>
      <c r="B21" s="1282" t="s">
        <v>1400</v>
      </c>
      <c r="C21" s="1283" t="s">
        <v>1399</v>
      </c>
      <c r="D21" s="1284">
        <f>1500*6*0.1</f>
        <v>900</v>
      </c>
      <c r="E21" s="1285"/>
      <c r="F21" s="1288"/>
    </row>
    <row r="22" spans="1:10" ht="12.75" customHeight="1">
      <c r="A22" s="1281"/>
      <c r="B22" s="1282"/>
      <c r="C22" s="1283"/>
      <c r="D22" s="1284"/>
      <c r="E22" s="1285"/>
      <c r="F22" s="1286"/>
      <c r="J22" s="1268">
        <f>30*8</f>
        <v>240</v>
      </c>
    </row>
    <row r="23" spans="1:10" ht="12.75" customHeight="1">
      <c r="A23" s="1281" t="s">
        <v>1401</v>
      </c>
      <c r="B23" s="1282" t="s">
        <v>1402</v>
      </c>
      <c r="C23" s="1283"/>
      <c r="D23" s="1284"/>
      <c r="E23" s="1285"/>
      <c r="F23" s="1288"/>
    </row>
    <row r="24" spans="1:10" ht="12.75" customHeight="1">
      <c r="A24" s="1281"/>
      <c r="B24" s="1282"/>
      <c r="C24" s="1283"/>
      <c r="D24" s="1284"/>
      <c r="E24" s="1285"/>
      <c r="F24" s="1286"/>
    </row>
    <row r="25" spans="1:10" ht="12.75" customHeight="1">
      <c r="A25" s="1281"/>
      <c r="B25" s="1282" t="s">
        <v>1403</v>
      </c>
      <c r="C25" s="1283" t="s">
        <v>1404</v>
      </c>
      <c r="D25" s="1284">
        <f>4*120</f>
        <v>480</v>
      </c>
      <c r="E25" s="1285"/>
      <c r="F25" s="1288"/>
    </row>
    <row r="26" spans="1:10" ht="12.75" customHeight="1">
      <c r="A26" s="1281"/>
      <c r="B26" s="1282"/>
      <c r="C26" s="1283"/>
      <c r="D26" s="1284"/>
      <c r="E26" s="1285"/>
      <c r="F26" s="1286"/>
    </row>
    <row r="27" spans="1:10" ht="12.75" customHeight="1">
      <c r="A27" s="1281"/>
      <c r="B27" s="1282" t="s">
        <v>1405</v>
      </c>
      <c r="C27" s="1283" t="s">
        <v>148</v>
      </c>
      <c r="D27" s="1284">
        <v>4</v>
      </c>
      <c r="E27" s="1285"/>
      <c r="F27" s="1288"/>
    </row>
    <row r="28" spans="1:10" ht="12.75" customHeight="1">
      <c r="A28" s="1281"/>
      <c r="B28" s="1282"/>
      <c r="C28" s="1283"/>
      <c r="D28" s="1284"/>
      <c r="E28" s="1285"/>
      <c r="F28" s="1286"/>
    </row>
    <row r="29" spans="1:10" ht="12.75" customHeight="1">
      <c r="A29" s="1281"/>
      <c r="B29" s="1282" t="s">
        <v>1406</v>
      </c>
      <c r="C29" s="1283" t="s">
        <v>148</v>
      </c>
      <c r="D29" s="1284">
        <v>56</v>
      </c>
      <c r="E29" s="1285"/>
      <c r="F29" s="1288"/>
    </row>
    <row r="30" spans="1:10" ht="12.75" customHeight="1">
      <c r="A30" s="1281"/>
      <c r="B30" s="1282"/>
      <c r="C30" s="1283"/>
      <c r="D30" s="1284"/>
      <c r="E30" s="1285"/>
      <c r="F30" s="1288"/>
    </row>
    <row r="31" spans="1:10" ht="12.75" customHeight="1">
      <c r="A31" s="1281"/>
      <c r="B31" s="1282" t="s">
        <v>1407</v>
      </c>
      <c r="C31" s="1283" t="s">
        <v>148</v>
      </c>
      <c r="D31" s="1284">
        <v>10</v>
      </c>
      <c r="E31" s="1285"/>
      <c r="F31" s="1288"/>
    </row>
    <row r="32" spans="1:10" ht="12.75" customHeight="1">
      <c r="A32" s="1281"/>
      <c r="B32" s="1282"/>
      <c r="C32" s="1283"/>
      <c r="D32" s="1284"/>
      <c r="E32" s="1285"/>
      <c r="F32" s="1286"/>
    </row>
    <row r="33" spans="1:6" ht="12.75" customHeight="1">
      <c r="A33" s="1281"/>
      <c r="B33" s="1282" t="s">
        <v>1408</v>
      </c>
      <c r="C33" s="1283" t="s">
        <v>1409</v>
      </c>
      <c r="D33" s="1284">
        <v>30</v>
      </c>
      <c r="E33" s="1285"/>
      <c r="F33" s="1288"/>
    </row>
    <row r="34" spans="1:6" ht="12.75" customHeight="1">
      <c r="A34" s="1281"/>
      <c r="B34" s="1282" t="s">
        <v>1410</v>
      </c>
      <c r="C34" s="1283"/>
      <c r="D34" s="1284"/>
      <c r="E34" s="1285"/>
      <c r="F34" s="1286"/>
    </row>
    <row r="35" spans="1:6" ht="12.75" customHeight="1">
      <c r="A35" s="1281"/>
      <c r="B35" s="1282"/>
      <c r="C35" s="1283"/>
      <c r="D35" s="1284"/>
      <c r="E35" s="1285"/>
      <c r="F35" s="1288"/>
    </row>
    <row r="36" spans="1:6" ht="12.75" customHeight="1">
      <c r="A36" s="1281"/>
      <c r="B36" s="1282" t="s">
        <v>1411</v>
      </c>
      <c r="C36" s="1283"/>
      <c r="D36" s="1284"/>
      <c r="E36" s="1285"/>
      <c r="F36" s="1288"/>
    </row>
    <row r="37" spans="1:6" ht="12.75" customHeight="1">
      <c r="A37" s="1281"/>
      <c r="B37" s="1282"/>
      <c r="C37" s="1283"/>
      <c r="D37" s="1284"/>
      <c r="E37" s="1285"/>
      <c r="F37" s="1288"/>
    </row>
    <row r="38" spans="1:6" ht="12.75" customHeight="1">
      <c r="A38" s="1281"/>
      <c r="B38" s="1282" t="s">
        <v>1412</v>
      </c>
      <c r="C38" s="1289" t="s">
        <v>148</v>
      </c>
      <c r="D38" s="1284">
        <v>60</v>
      </c>
      <c r="E38" s="1285"/>
      <c r="F38" s="1288"/>
    </row>
    <row r="39" spans="1:6" ht="12.75" customHeight="1">
      <c r="A39" s="1281"/>
      <c r="B39" s="1282"/>
      <c r="C39" s="1291"/>
      <c r="D39" s="1292"/>
      <c r="E39" s="1285"/>
      <c r="F39" s="1286"/>
    </row>
    <row r="40" spans="1:6" ht="12.75" customHeight="1">
      <c r="A40" s="1281"/>
      <c r="B40" s="1282" t="s">
        <v>1413</v>
      </c>
      <c r="C40" s="1289" t="s">
        <v>148</v>
      </c>
      <c r="D40" s="1284">
        <v>5</v>
      </c>
      <c r="E40" s="1285"/>
      <c r="F40" s="1288"/>
    </row>
    <row r="41" spans="1:6" ht="12.75" customHeight="1">
      <c r="A41" s="1281"/>
      <c r="B41" s="1282"/>
      <c r="C41" s="1289"/>
      <c r="D41" s="1284"/>
      <c r="E41" s="1285"/>
      <c r="F41" s="1286"/>
    </row>
    <row r="42" spans="1:6" ht="12.75" hidden="1" customHeight="1">
      <c r="A42" s="1281"/>
      <c r="B42" s="1282" t="s">
        <v>1414</v>
      </c>
      <c r="C42" s="1289"/>
      <c r="D42" s="1284"/>
      <c r="E42" s="1285"/>
      <c r="F42" s="1288"/>
    </row>
    <row r="43" spans="1:6" ht="12.75" customHeight="1">
      <c r="A43" s="1281"/>
      <c r="B43" s="1282" t="s">
        <v>1415</v>
      </c>
      <c r="C43" s="1289" t="s">
        <v>148</v>
      </c>
      <c r="D43" s="1284">
        <v>5</v>
      </c>
      <c r="E43" s="1285"/>
      <c r="F43" s="1288"/>
    </row>
    <row r="44" spans="1:6" ht="12.75" customHeight="1">
      <c r="A44" s="1281"/>
      <c r="B44" s="1282"/>
      <c r="C44" s="1289"/>
      <c r="D44" s="1284"/>
      <c r="E44" s="1285"/>
      <c r="F44" s="1288"/>
    </row>
    <row r="45" spans="1:6" ht="12.75" customHeight="1">
      <c r="A45" s="1281"/>
      <c r="B45" s="1282" t="s">
        <v>1416</v>
      </c>
      <c r="C45" s="1289" t="s">
        <v>148</v>
      </c>
      <c r="D45" s="1284">
        <v>5</v>
      </c>
      <c r="E45" s="1285"/>
      <c r="F45" s="1288"/>
    </row>
    <row r="46" spans="1:6" ht="12.75" customHeight="1">
      <c r="A46" s="1281"/>
      <c r="B46" s="1282"/>
      <c r="C46" s="1289"/>
      <c r="D46" s="1284"/>
      <c r="E46" s="1285"/>
      <c r="F46" s="1288"/>
    </row>
    <row r="47" spans="1:6" s="1299" customFormat="1" ht="12">
      <c r="A47" s="1293"/>
      <c r="B47" s="1294" t="s">
        <v>1417</v>
      </c>
      <c r="C47" s="1295"/>
      <c r="D47" s="1296"/>
      <c r="E47" s="1297"/>
      <c r="F47" s="1298"/>
    </row>
    <row r="48" spans="1:6" s="1299" customFormat="1" ht="12">
      <c r="A48" s="1300"/>
      <c r="B48" s="1301"/>
      <c r="C48" s="1302"/>
      <c r="D48" s="1303"/>
      <c r="E48" s="1304"/>
      <c r="F48" s="1304"/>
    </row>
    <row r="49" spans="1:9" s="1299" customFormat="1" ht="12">
      <c r="A49" s="1305"/>
      <c r="B49" s="1306" t="s">
        <v>49</v>
      </c>
      <c r="C49" s="1307"/>
      <c r="D49" s="1308"/>
      <c r="E49" s="1309"/>
      <c r="F49" s="1310"/>
      <c r="I49" s="1299">
        <f>20*8</f>
        <v>160</v>
      </c>
    </row>
    <row r="50" spans="1:9" ht="12.75" customHeight="1">
      <c r="A50" s="1281"/>
      <c r="B50" s="1282"/>
      <c r="C50" s="1291"/>
      <c r="D50" s="1292"/>
      <c r="E50" s="1285"/>
      <c r="F50" s="1286"/>
    </row>
    <row r="51" spans="1:9" ht="12.75" customHeight="1">
      <c r="A51" s="1281"/>
      <c r="B51" s="1282" t="s">
        <v>1418</v>
      </c>
      <c r="C51" s="1289" t="s">
        <v>148</v>
      </c>
      <c r="D51" s="1284">
        <v>5</v>
      </c>
      <c r="E51" s="1285"/>
      <c r="F51" s="1288"/>
    </row>
    <row r="52" spans="1:9" ht="12.75" customHeight="1">
      <c r="A52" s="1281"/>
      <c r="B52" s="1282"/>
      <c r="C52" s="1289"/>
      <c r="D52" s="1284"/>
      <c r="E52" s="1285"/>
      <c r="F52" s="1288"/>
    </row>
    <row r="53" spans="1:9" ht="12.75" customHeight="1">
      <c r="A53" s="1281">
        <v>15.04</v>
      </c>
      <c r="B53" s="1282" t="s">
        <v>1419</v>
      </c>
      <c r="C53" s="1289" t="s">
        <v>1420</v>
      </c>
      <c r="D53" s="1284">
        <v>1</v>
      </c>
      <c r="E53" s="1285"/>
      <c r="F53" s="1288"/>
    </row>
    <row r="54" spans="1:9" ht="12.75" customHeight="1">
      <c r="A54" s="1281"/>
      <c r="B54" s="1282"/>
      <c r="C54" s="1289"/>
      <c r="D54" s="1284"/>
      <c r="E54" s="1285"/>
      <c r="F54" s="1288"/>
    </row>
    <row r="55" spans="1:9" ht="12.75" customHeight="1">
      <c r="A55" s="1281">
        <v>15.05</v>
      </c>
      <c r="B55" s="1282" t="s">
        <v>1421</v>
      </c>
      <c r="C55" s="1289"/>
      <c r="D55" s="1284"/>
      <c r="E55" s="1285"/>
      <c r="F55" s="1288"/>
    </row>
    <row r="56" spans="1:9" ht="12.75" customHeight="1">
      <c r="A56" s="1281"/>
      <c r="B56" s="1282" t="s">
        <v>1422</v>
      </c>
      <c r="C56" s="1291"/>
      <c r="D56" s="1284"/>
      <c r="E56" s="1285"/>
      <c r="F56" s="1286"/>
    </row>
    <row r="57" spans="1:9" ht="12.75" customHeight="1">
      <c r="A57" s="1281"/>
      <c r="B57" s="1282" t="s">
        <v>1394</v>
      </c>
      <c r="C57" s="1289"/>
      <c r="D57" s="1284"/>
      <c r="E57" s="1285"/>
      <c r="F57" s="1288"/>
    </row>
    <row r="58" spans="1:9" ht="12.75" customHeight="1">
      <c r="A58" s="1281"/>
      <c r="B58" s="1282"/>
      <c r="C58" s="1289"/>
      <c r="D58" s="1284"/>
      <c r="E58" s="1285"/>
      <c r="F58" s="1286"/>
    </row>
    <row r="59" spans="1:9" ht="12.75" customHeight="1">
      <c r="A59" s="1281"/>
      <c r="B59" s="1282" t="s">
        <v>1423</v>
      </c>
      <c r="C59" s="1289" t="s">
        <v>1399</v>
      </c>
      <c r="D59" s="1284">
        <f>200*0.15*6</f>
        <v>180</v>
      </c>
      <c r="E59" s="1285"/>
      <c r="F59" s="1288"/>
    </row>
    <row r="60" spans="1:9" ht="15.75" customHeight="1">
      <c r="A60" s="1281"/>
      <c r="B60" s="1282"/>
      <c r="C60" s="1289"/>
      <c r="D60" s="1284"/>
      <c r="E60" s="1285"/>
      <c r="F60" s="1288"/>
    </row>
    <row r="61" spans="1:9" s="1291" customFormat="1" ht="12.75" customHeight="1">
      <c r="A61" s="1281">
        <v>15.06</v>
      </c>
      <c r="B61" s="1292" t="s">
        <v>1424</v>
      </c>
      <c r="C61" s="1283" t="s">
        <v>1425</v>
      </c>
      <c r="D61" s="1284">
        <f>120*6*0.8</f>
        <v>576</v>
      </c>
      <c r="E61" s="1285"/>
      <c r="F61" s="1288"/>
    </row>
    <row r="62" spans="1:9" s="1291" customFormat="1" ht="19.5" customHeight="1">
      <c r="A62" s="1281"/>
      <c r="B62" s="1311"/>
      <c r="C62" s="1312"/>
      <c r="D62" s="1311"/>
      <c r="E62" s="1312"/>
      <c r="F62" s="1286"/>
    </row>
    <row r="63" spans="1:9" ht="12.75" customHeight="1">
      <c r="A63" s="1313" t="s">
        <v>1426</v>
      </c>
      <c r="B63" s="1282" t="s">
        <v>1427</v>
      </c>
      <c r="C63" s="1289"/>
      <c r="D63" s="1284"/>
      <c r="E63" s="1285"/>
      <c r="F63" s="1286"/>
    </row>
    <row r="64" spans="1:9" ht="12.75" customHeight="1">
      <c r="A64" s="1281"/>
      <c r="B64" s="1282"/>
      <c r="C64" s="1289"/>
      <c r="D64" s="1284"/>
      <c r="E64" s="1285"/>
      <c r="F64" s="1288"/>
    </row>
    <row r="65" spans="1:6" ht="12.75" customHeight="1">
      <c r="A65" s="1281"/>
      <c r="B65" s="1282" t="s">
        <v>1423</v>
      </c>
      <c r="C65" s="1289" t="s">
        <v>1428</v>
      </c>
      <c r="D65" s="1314">
        <f>1.5*6</f>
        <v>9</v>
      </c>
      <c r="E65" s="1285"/>
      <c r="F65" s="1288"/>
    </row>
    <row r="66" spans="1:6" ht="12.75" customHeight="1">
      <c r="A66" s="1278"/>
      <c r="B66" s="1315" t="s">
        <v>1429</v>
      </c>
      <c r="C66" s="1289" t="s">
        <v>1428</v>
      </c>
      <c r="D66" s="1314">
        <f>1.5*6</f>
        <v>9</v>
      </c>
      <c r="E66" s="1316"/>
      <c r="F66" s="1288"/>
    </row>
    <row r="67" spans="1:6" ht="12.75" customHeight="1">
      <c r="A67" s="1278"/>
      <c r="B67" s="1315"/>
      <c r="C67" s="1289"/>
      <c r="D67" s="1317"/>
      <c r="E67" s="1316"/>
      <c r="F67" s="1286"/>
    </row>
    <row r="68" spans="1:6" ht="12.75" hidden="1" customHeight="1">
      <c r="A68" s="1318">
        <v>15.08</v>
      </c>
      <c r="B68" s="1319" t="s">
        <v>1430</v>
      </c>
      <c r="C68" s="1320"/>
      <c r="D68" s="1321"/>
      <c r="E68" s="1316"/>
      <c r="F68" s="1288"/>
    </row>
    <row r="69" spans="1:6" ht="12.75" hidden="1" customHeight="1">
      <c r="A69" s="1318"/>
      <c r="B69" s="1315" t="s">
        <v>1431</v>
      </c>
      <c r="C69" s="1317" t="s">
        <v>460</v>
      </c>
      <c r="D69" s="1317"/>
      <c r="E69" s="1316"/>
      <c r="F69" s="1286"/>
    </row>
    <row r="70" spans="1:6" ht="12.75" hidden="1" customHeight="1">
      <c r="A70" s="1318"/>
      <c r="B70" s="1318"/>
      <c r="C70" s="1320"/>
      <c r="D70" s="1317"/>
      <c r="E70" s="1316"/>
      <c r="F70" s="1286"/>
    </row>
    <row r="71" spans="1:6" ht="12.75" hidden="1" customHeight="1">
      <c r="A71" s="1318" t="s">
        <v>1432</v>
      </c>
      <c r="B71" s="1315" t="s">
        <v>1433</v>
      </c>
      <c r="C71" s="1320"/>
      <c r="D71" s="1317"/>
      <c r="E71" s="1316"/>
      <c r="F71" s="1286"/>
    </row>
    <row r="72" spans="1:6" ht="12.75" hidden="1" customHeight="1">
      <c r="A72" s="1318"/>
      <c r="B72" s="1318"/>
      <c r="C72" s="1320"/>
      <c r="D72" s="1317"/>
      <c r="E72" s="1316"/>
      <c r="F72" s="1286"/>
    </row>
    <row r="73" spans="1:6" ht="12.75" hidden="1" customHeight="1">
      <c r="A73" s="1318"/>
      <c r="B73" s="1315" t="s">
        <v>1434</v>
      </c>
      <c r="C73" s="1320"/>
      <c r="D73" s="1317"/>
      <c r="E73" s="1316"/>
      <c r="F73" s="1286"/>
    </row>
    <row r="74" spans="1:6" ht="12.75" hidden="1" customHeight="1">
      <c r="A74" s="1318"/>
      <c r="B74" s="1315" t="s">
        <v>1435</v>
      </c>
      <c r="C74" s="1320" t="s">
        <v>1436</v>
      </c>
      <c r="D74" s="1317"/>
      <c r="E74" s="1316"/>
      <c r="F74" s="1286"/>
    </row>
    <row r="75" spans="1:6" ht="12.75" hidden="1" customHeight="1">
      <c r="A75" s="1318"/>
      <c r="B75" s="1318"/>
      <c r="C75" s="1320"/>
      <c r="D75" s="1317"/>
      <c r="E75" s="1316"/>
      <c r="F75" s="1286"/>
    </row>
    <row r="76" spans="1:6" ht="12.75" hidden="1" customHeight="1">
      <c r="A76" s="1318"/>
      <c r="B76" s="1315" t="s">
        <v>1437</v>
      </c>
      <c r="C76" s="1320"/>
      <c r="D76" s="1317"/>
      <c r="E76" s="1316"/>
      <c r="F76" s="1286"/>
    </row>
    <row r="77" spans="1:6" ht="12.75" hidden="1" customHeight="1">
      <c r="A77" s="1318"/>
      <c r="B77" s="1315" t="s">
        <v>1438</v>
      </c>
      <c r="C77" s="1320" t="s">
        <v>1436</v>
      </c>
      <c r="D77" s="1317"/>
      <c r="E77" s="1316"/>
      <c r="F77" s="1286"/>
    </row>
    <row r="78" spans="1:6" ht="12.75" hidden="1" customHeight="1">
      <c r="A78" s="1318"/>
      <c r="B78" s="1318"/>
      <c r="C78" s="1320"/>
      <c r="D78" s="1317"/>
      <c r="E78" s="1316"/>
      <c r="F78" s="1286"/>
    </row>
    <row r="79" spans="1:6" ht="12.75" customHeight="1">
      <c r="A79" s="1318"/>
      <c r="B79" s="1318"/>
      <c r="C79" s="1320"/>
      <c r="D79" s="1317"/>
      <c r="E79" s="1316"/>
      <c r="F79" s="1286"/>
    </row>
    <row r="80" spans="1:6" ht="12.75" customHeight="1">
      <c r="A80" s="1318"/>
      <c r="B80" s="1318"/>
      <c r="C80" s="1320"/>
      <c r="D80" s="1317"/>
      <c r="E80" s="1322"/>
      <c r="F80" s="1323"/>
    </row>
    <row r="81" spans="1:6" ht="17.100000000000001" customHeight="1">
      <c r="A81" s="1324">
        <v>1500</v>
      </c>
      <c r="B81" s="1325" t="s">
        <v>1417</v>
      </c>
      <c r="C81" s="1326"/>
      <c r="D81" s="1327"/>
      <c r="E81" s="1328"/>
      <c r="F81" s="1329"/>
    </row>
    <row r="82" spans="1:6" ht="17.100000000000001" customHeight="1">
      <c r="A82" s="1320"/>
      <c r="B82" s="1320"/>
      <c r="C82" s="1262"/>
      <c r="D82" s="1320"/>
      <c r="E82" s="1322"/>
      <c r="F82" s="1330"/>
    </row>
    <row r="83" spans="1:6" ht="17.100000000000001" customHeight="1">
      <c r="A83" s="1289"/>
      <c r="B83" s="1331"/>
      <c r="C83" s="1289"/>
      <c r="D83" s="1332"/>
      <c r="E83" s="1332"/>
      <c r="F83" s="1333"/>
    </row>
    <row r="84" spans="1:6" ht="17.100000000000001" customHeight="1">
      <c r="A84" s="1289"/>
      <c r="B84" s="1331"/>
      <c r="C84" s="1289"/>
      <c r="D84" s="1332"/>
      <c r="E84" s="1332"/>
      <c r="F84" s="1333"/>
    </row>
    <row r="85" spans="1:6" ht="17.100000000000001" customHeight="1">
      <c r="A85" s="1289"/>
      <c r="B85" s="1331"/>
      <c r="C85" s="1289"/>
      <c r="D85" s="1332"/>
      <c r="E85" s="1332"/>
      <c r="F85" s="1333"/>
    </row>
    <row r="86" spans="1:6" ht="17.100000000000001" customHeight="1">
      <c r="A86" s="1289"/>
      <c r="B86" s="1331"/>
      <c r="C86" s="1289"/>
      <c r="D86" s="1332"/>
      <c r="E86" s="1332"/>
      <c r="F86" s="1333"/>
    </row>
    <row r="87" spans="1:6" ht="17.100000000000001" customHeight="1">
      <c r="A87" s="1289"/>
      <c r="B87" s="1331"/>
      <c r="C87" s="1289"/>
      <c r="D87" s="1332"/>
      <c r="E87" s="1332"/>
      <c r="F87" s="1333"/>
    </row>
    <row r="88" spans="1:6" ht="17.100000000000001" customHeight="1">
      <c r="A88" s="1289"/>
      <c r="B88" s="1331"/>
      <c r="C88" s="1289"/>
      <c r="D88" s="1332"/>
      <c r="E88" s="1332"/>
      <c r="F88" s="1333"/>
    </row>
  </sheetData>
  <mergeCells count="2">
    <mergeCell ref="D7:F7"/>
    <mergeCell ref="A2:B2"/>
  </mergeCells>
  <pageMargins left="0.94488188976377963" right="0.35433070866141736" top="0.78740157480314965" bottom="0.78740157480314965" header="0.51181102362204722" footer="0.51181102362204722"/>
  <pageSetup paperSize="9" scale="93" fitToHeight="0" orientation="portrait" r:id="rId1"/>
  <headerFooter alignWithMargins="0">
    <oddHeader>&amp;CC80.15</oddHeader>
  </headerFooter>
  <rowBreaks count="1" manualBreakCount="1">
    <brk id="47"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view="pageBreakPreview" zoomScale="90" zoomScaleNormal="100" zoomScaleSheetLayoutView="90" workbookViewId="0">
      <pane ySplit="8" topLeftCell="A9" activePane="bottomLeft" state="frozen"/>
      <selection activeCell="H47" sqref="H47"/>
      <selection pane="bottomLeft" activeCell="J51" sqref="J51"/>
    </sheetView>
  </sheetViews>
  <sheetFormatPr defaultColWidth="9.109375" defaultRowHeight="13.2"/>
  <cols>
    <col min="1" max="1" width="7.6640625" style="1337" customWidth="1"/>
    <col min="2" max="2" width="36" style="1337" customWidth="1"/>
    <col min="3" max="3" width="9.33203125" style="1337" customWidth="1"/>
    <col min="4" max="4" width="10.6640625" style="1337" customWidth="1"/>
    <col min="5" max="5" width="12.6640625" style="1377" customWidth="1"/>
    <col min="6" max="6" width="13.6640625" style="1378" customWidth="1"/>
    <col min="7" max="16384" width="9.109375" style="1337"/>
  </cols>
  <sheetData>
    <row r="1" spans="1:6" ht="15" customHeight="1">
      <c r="A1" s="2028" t="str">
        <f>+'1500 '!A1</f>
        <v>GREATER LETABA MUNICIPALITY</v>
      </c>
      <c r="B1" s="1334"/>
      <c r="C1" s="1335"/>
      <c r="D1" s="1335"/>
      <c r="E1" s="1335"/>
      <c r="F1" s="1336"/>
    </row>
    <row r="2" spans="1:6" ht="11.4" customHeight="1">
      <c r="A2" s="2208" t="str">
        <f>+'1500 '!A2</f>
        <v>CONTRACT NUMBER: GLM015/2025</v>
      </c>
      <c r="B2" s="2208"/>
      <c r="C2" s="1335"/>
      <c r="D2" s="1335"/>
      <c r="E2" s="1335"/>
      <c r="F2" s="1335"/>
    </row>
    <row r="3" spans="1:6" ht="15" customHeight="1">
      <c r="A3" s="1338" t="s">
        <v>1439</v>
      </c>
      <c r="B3" s="1335"/>
      <c r="C3" s="1335"/>
      <c r="D3" s="1335"/>
      <c r="E3" s="1335"/>
      <c r="F3" s="1335"/>
    </row>
    <row r="4" spans="1:6" ht="15" customHeight="1">
      <c r="A4" s="1339" t="s">
        <v>1440</v>
      </c>
      <c r="B4" s="1339"/>
      <c r="C4" s="1335"/>
      <c r="D4" s="1335"/>
      <c r="E4" s="1335"/>
      <c r="F4" s="1335"/>
    </row>
    <row r="5" spans="1:6" ht="15" customHeight="1">
      <c r="A5" s="1339" t="s">
        <v>1441</v>
      </c>
      <c r="B5" s="1339"/>
      <c r="C5" s="1335"/>
      <c r="D5" s="1335"/>
      <c r="E5" s="1335"/>
      <c r="F5" s="1335"/>
    </row>
    <row r="6" spans="1:6" ht="5.0999999999999996" customHeight="1">
      <c r="A6" s="1340"/>
      <c r="B6" s="1340"/>
      <c r="C6" s="1338"/>
      <c r="D6" s="1338"/>
      <c r="E6" s="1341"/>
      <c r="F6" s="1342"/>
    </row>
    <row r="7" spans="1:6">
      <c r="A7" s="1338"/>
      <c r="B7" s="1340"/>
      <c r="C7" s="1338"/>
      <c r="D7" s="2205"/>
      <c r="E7" s="2206"/>
      <c r="F7" s="2207"/>
    </row>
    <row r="8" spans="1:6" s="1346" customFormat="1" ht="15" customHeight="1">
      <c r="A8" s="1343" t="s">
        <v>0</v>
      </c>
      <c r="B8" s="1343" t="s">
        <v>2</v>
      </c>
      <c r="C8" s="1343" t="s">
        <v>3</v>
      </c>
      <c r="D8" s="1343" t="s">
        <v>4</v>
      </c>
      <c r="E8" s="1344" t="s">
        <v>5</v>
      </c>
      <c r="F8" s="1345" t="s">
        <v>6</v>
      </c>
    </row>
    <row r="9" spans="1:6">
      <c r="A9" s="1347"/>
      <c r="B9" s="1347"/>
      <c r="C9" s="1347"/>
      <c r="D9" s="1347"/>
      <c r="E9" s="1348"/>
      <c r="F9" s="1349"/>
    </row>
    <row r="10" spans="1:6">
      <c r="A10" s="1350"/>
      <c r="B10" s="1350"/>
      <c r="C10" s="1350"/>
      <c r="D10" s="1350"/>
      <c r="E10" s="1351"/>
      <c r="F10" s="1352"/>
    </row>
    <row r="11" spans="1:6">
      <c r="A11" s="1353" t="s">
        <v>1442</v>
      </c>
      <c r="B11" s="1354" t="s">
        <v>1443</v>
      </c>
      <c r="C11" s="1355"/>
      <c r="D11" s="1355"/>
      <c r="E11" s="1356"/>
      <c r="F11" s="1357"/>
    </row>
    <row r="12" spans="1:6">
      <c r="A12" s="1353"/>
      <c r="B12" s="1354" t="s">
        <v>1444</v>
      </c>
      <c r="C12" s="1355"/>
      <c r="D12" s="1358"/>
      <c r="E12" s="1356"/>
      <c r="F12" s="1357"/>
    </row>
    <row r="13" spans="1:6">
      <c r="A13" s="1353"/>
      <c r="B13" s="1354" t="s">
        <v>1445</v>
      </c>
      <c r="C13" s="1355"/>
      <c r="D13" s="1358"/>
      <c r="E13" s="1356"/>
      <c r="F13" s="1357"/>
    </row>
    <row r="14" spans="1:6">
      <c r="A14" s="1353"/>
      <c r="B14" s="1354"/>
      <c r="C14" s="1355"/>
      <c r="D14" s="1358"/>
      <c r="E14" s="1356"/>
      <c r="F14" s="1357"/>
    </row>
    <row r="15" spans="1:6">
      <c r="A15" s="1353"/>
      <c r="B15" s="1354" t="s">
        <v>1446</v>
      </c>
      <c r="C15" s="1355" t="s">
        <v>1447</v>
      </c>
      <c r="D15" s="1358">
        <f>+(1.5*10000)/10000</f>
        <v>1.5</v>
      </c>
      <c r="E15" s="1356"/>
      <c r="F15" s="1357"/>
    </row>
    <row r="16" spans="1:6">
      <c r="A16" s="1353"/>
      <c r="B16" s="1354"/>
      <c r="C16" s="1355"/>
      <c r="D16" s="1358"/>
      <c r="E16" s="1356"/>
      <c r="F16" s="1357"/>
    </row>
    <row r="17" spans="1:6">
      <c r="A17" s="1353"/>
      <c r="B17" s="1354" t="s">
        <v>1448</v>
      </c>
      <c r="C17" s="1355" t="s">
        <v>1447</v>
      </c>
      <c r="D17" s="1358">
        <f>+(150*150)/10000</f>
        <v>2.25</v>
      </c>
      <c r="E17" s="1356"/>
      <c r="F17" s="1357"/>
    </row>
    <row r="18" spans="1:6">
      <c r="A18" s="1353"/>
      <c r="B18" s="1354"/>
      <c r="C18" s="1355"/>
      <c r="D18" s="1358"/>
      <c r="E18" s="1356"/>
      <c r="F18" s="1357"/>
    </row>
    <row r="19" spans="1:6">
      <c r="A19" s="1353"/>
      <c r="B19" s="1354"/>
      <c r="C19" s="1355"/>
      <c r="D19" s="1355"/>
      <c r="E19" s="1356"/>
      <c r="F19" s="1357"/>
    </row>
    <row r="20" spans="1:6" ht="26.4">
      <c r="A20" s="1353">
        <v>17.02</v>
      </c>
      <c r="B20" s="1359" t="s">
        <v>1449</v>
      </c>
      <c r="C20" s="1355"/>
      <c r="D20" s="1355"/>
      <c r="E20" s="1356"/>
      <c r="F20" s="1360"/>
    </row>
    <row r="21" spans="1:6">
      <c r="A21" s="1353"/>
      <c r="B21" s="1359"/>
      <c r="C21" s="1355"/>
      <c r="D21" s="1355"/>
      <c r="E21" s="1356"/>
      <c r="F21" s="1357"/>
    </row>
    <row r="22" spans="1:6" ht="26.4">
      <c r="A22" s="1353"/>
      <c r="B22" s="1359" t="s">
        <v>1450</v>
      </c>
      <c r="C22" s="1355" t="s">
        <v>148</v>
      </c>
      <c r="D22" s="1355">
        <v>4</v>
      </c>
      <c r="E22" s="1356"/>
      <c r="F22" s="1356"/>
    </row>
    <row r="23" spans="1:6" ht="26.4">
      <c r="A23" s="1353"/>
      <c r="B23" s="1359" t="s">
        <v>1451</v>
      </c>
      <c r="C23" s="1355" t="s">
        <v>148</v>
      </c>
      <c r="D23" s="1355">
        <v>3</v>
      </c>
      <c r="E23" s="1356"/>
      <c r="F23" s="1356"/>
    </row>
    <row r="24" spans="1:6">
      <c r="A24" s="1353"/>
      <c r="B24" s="1359"/>
      <c r="C24" s="1355"/>
      <c r="D24" s="1355"/>
      <c r="E24" s="1356"/>
      <c r="F24" s="1356"/>
    </row>
    <row r="25" spans="1:6">
      <c r="A25" s="1353"/>
      <c r="B25" s="1361"/>
      <c r="C25" s="1355"/>
      <c r="D25" s="1362"/>
      <c r="E25" s="1356"/>
      <c r="F25" s="1360"/>
    </row>
    <row r="26" spans="1:6">
      <c r="A26" s="1353"/>
      <c r="B26" s="1363"/>
      <c r="C26" s="1355"/>
      <c r="D26" s="1362"/>
      <c r="E26" s="1356"/>
      <c r="F26" s="1357"/>
    </row>
    <row r="27" spans="1:6">
      <c r="A27" s="1353"/>
      <c r="B27" s="1363"/>
      <c r="C27" s="1355"/>
      <c r="D27" s="1362"/>
      <c r="E27" s="1356"/>
      <c r="F27" s="1360"/>
    </row>
    <row r="28" spans="1:6">
      <c r="A28" s="1353"/>
      <c r="B28" s="1363"/>
      <c r="C28" s="1355"/>
      <c r="D28" s="1362"/>
      <c r="E28" s="1356"/>
      <c r="F28" s="1360"/>
    </row>
    <row r="29" spans="1:6">
      <c r="A29" s="1353"/>
      <c r="B29" s="1363"/>
      <c r="C29" s="1355"/>
      <c r="D29" s="1362"/>
      <c r="E29" s="1356"/>
      <c r="F29" s="1360"/>
    </row>
    <row r="30" spans="1:6">
      <c r="A30" s="1353"/>
      <c r="B30" s="1363"/>
      <c r="C30" s="1355"/>
      <c r="D30" s="1362"/>
      <c r="E30" s="1356"/>
      <c r="F30" s="1360"/>
    </row>
    <row r="31" spans="1:6">
      <c r="A31" s="1353"/>
      <c r="B31" s="1363"/>
      <c r="C31" s="1355"/>
      <c r="D31" s="1362"/>
      <c r="E31" s="1356"/>
      <c r="F31" s="1360"/>
    </row>
    <row r="32" spans="1:6">
      <c r="A32" s="1353"/>
      <c r="B32" s="1363"/>
      <c r="C32" s="1355"/>
      <c r="D32" s="1362"/>
      <c r="E32" s="1356"/>
      <c r="F32" s="1360"/>
    </row>
    <row r="33" spans="1:6">
      <c r="A33" s="1353"/>
      <c r="B33" s="1363"/>
      <c r="C33" s="1355"/>
      <c r="D33" s="1362"/>
      <c r="E33" s="1356"/>
      <c r="F33" s="1360"/>
    </row>
    <row r="34" spans="1:6">
      <c r="A34" s="1353"/>
      <c r="B34" s="1363"/>
      <c r="C34" s="1355"/>
      <c r="D34" s="1362"/>
      <c r="E34" s="1356"/>
      <c r="F34" s="1360"/>
    </row>
    <row r="35" spans="1:6">
      <c r="A35" s="1353"/>
      <c r="B35" s="1363"/>
      <c r="C35" s="1355"/>
      <c r="D35" s="1362"/>
      <c r="E35" s="1356"/>
      <c r="F35" s="1360"/>
    </row>
    <row r="36" spans="1:6">
      <c r="A36" s="1353"/>
      <c r="B36" s="1363"/>
      <c r="C36" s="1364"/>
      <c r="D36" s="1362"/>
      <c r="E36" s="1356"/>
      <c r="F36" s="1357"/>
    </row>
    <row r="37" spans="1:6">
      <c r="A37" s="1353"/>
      <c r="B37" s="1363"/>
      <c r="C37" s="1355"/>
      <c r="D37" s="1362"/>
      <c r="E37" s="1356"/>
      <c r="F37" s="1360"/>
    </row>
    <row r="38" spans="1:6">
      <c r="A38" s="1353"/>
      <c r="B38" s="1363"/>
      <c r="C38" s="1355"/>
      <c r="D38" s="1362"/>
      <c r="E38" s="1356"/>
      <c r="F38" s="1360"/>
    </row>
    <row r="39" spans="1:6">
      <c r="A39" s="1353"/>
      <c r="B39" s="1363"/>
      <c r="C39" s="1355"/>
      <c r="D39" s="1362"/>
      <c r="E39" s="1356"/>
      <c r="F39" s="1360"/>
    </row>
    <row r="40" spans="1:6">
      <c r="A40" s="1353"/>
      <c r="B40" s="1363"/>
      <c r="C40" s="1364"/>
      <c r="D40" s="1362"/>
      <c r="E40" s="1356"/>
      <c r="F40" s="1357"/>
    </row>
    <row r="41" spans="1:6">
      <c r="A41" s="1353"/>
      <c r="B41" s="1363"/>
      <c r="C41" s="1355"/>
      <c r="D41" s="1362"/>
      <c r="E41" s="1356"/>
      <c r="F41" s="1360"/>
    </row>
    <row r="42" spans="1:6">
      <c r="A42" s="1353"/>
      <c r="B42" s="1363"/>
      <c r="C42" s="1355"/>
      <c r="D42" s="1362"/>
      <c r="E42" s="1356"/>
      <c r="F42" s="1360"/>
    </row>
    <row r="43" spans="1:6">
      <c r="A43" s="1353"/>
      <c r="B43" s="1363"/>
      <c r="C43" s="1364"/>
      <c r="D43" s="1362"/>
      <c r="E43" s="1356"/>
      <c r="F43" s="1357"/>
    </row>
    <row r="44" spans="1:6">
      <c r="A44" s="1353"/>
      <c r="B44" s="1363"/>
      <c r="C44" s="1355"/>
      <c r="D44" s="1362"/>
      <c r="E44" s="1356"/>
      <c r="F44" s="1360"/>
    </row>
    <row r="45" spans="1:6">
      <c r="A45" s="1353"/>
      <c r="B45" s="1363"/>
      <c r="C45" s="1355"/>
      <c r="D45" s="1362"/>
      <c r="E45" s="1356"/>
      <c r="F45" s="1360"/>
    </row>
    <row r="46" spans="1:6">
      <c r="A46" s="1353"/>
      <c r="B46" s="1363"/>
      <c r="C46" s="1355"/>
      <c r="D46" s="1362"/>
      <c r="E46" s="1356"/>
      <c r="F46" s="1360"/>
    </row>
    <row r="47" spans="1:6">
      <c r="A47" s="1353"/>
      <c r="B47" s="1363"/>
      <c r="C47" s="1355"/>
      <c r="D47" s="1362"/>
      <c r="E47" s="1356"/>
      <c r="F47" s="1360"/>
    </row>
    <row r="48" spans="1:6">
      <c r="A48" s="1353"/>
      <c r="B48" s="1363"/>
      <c r="C48" s="1355"/>
      <c r="D48" s="1362"/>
      <c r="E48" s="1356"/>
      <c r="F48" s="1360"/>
    </row>
    <row r="49" spans="1:6">
      <c r="A49" s="1353"/>
      <c r="B49" s="1363"/>
      <c r="C49" s="1355"/>
      <c r="D49" s="1362"/>
      <c r="E49" s="1356"/>
      <c r="F49" s="1360"/>
    </row>
    <row r="50" spans="1:6">
      <c r="A50" s="1353"/>
      <c r="B50" s="1363"/>
      <c r="C50" s="1355"/>
      <c r="D50" s="1362"/>
      <c r="E50" s="1356"/>
      <c r="F50" s="1360"/>
    </row>
    <row r="51" spans="1:6" ht="13.8">
      <c r="A51" s="1365"/>
      <c r="B51" s="1366"/>
      <c r="C51" s="1367"/>
      <c r="D51" s="1368"/>
      <c r="E51" s="1369"/>
      <c r="F51" s="1370"/>
    </row>
    <row r="52" spans="1:6" s="1346" customFormat="1" ht="15" customHeight="1">
      <c r="A52" s="1371" t="s">
        <v>1452</v>
      </c>
      <c r="B52" s="1372" t="s">
        <v>1417</v>
      </c>
      <c r="C52" s="1373"/>
      <c r="D52" s="1374"/>
      <c r="E52" s="1375"/>
      <c r="F52" s="1376"/>
    </row>
    <row r="53" spans="1:6">
      <c r="C53" s="1335"/>
    </row>
  </sheetData>
  <mergeCells count="2">
    <mergeCell ref="D7:F7"/>
    <mergeCell ref="A2:B2"/>
  </mergeCells>
  <pageMargins left="0.94488188976377963" right="0.35433070866141736" top="0.78740157480314965" bottom="0.78740157480314965" header="0.51181102362204722" footer="0.51181102362204722"/>
  <pageSetup paperSize="9" scale="94" orientation="portrait" r:id="rId1"/>
  <headerFooter alignWithMargins="0">
    <oddHeader>&amp;CC80.16</oddHeader>
  </headerFooter>
  <colBreaks count="1" manualBreakCount="1">
    <brk id="7" max="5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47</vt:i4>
      </vt:variant>
    </vt:vector>
  </HeadingPairs>
  <TitlesOfParts>
    <vt:vector size="85" baseType="lpstr">
      <vt:lpstr>Contractor Cover Sheet IPC 1</vt:lpstr>
      <vt:lpstr>IA CERTIFICATE </vt:lpstr>
      <vt:lpstr>1-P&amp;G's </vt:lpstr>
      <vt:lpstr>2-Landfill Cells</vt:lpstr>
      <vt:lpstr>3-Leachate Pond</vt:lpstr>
      <vt:lpstr>4-Drainage</vt:lpstr>
      <vt:lpstr>5-Structural Works</vt:lpstr>
      <vt:lpstr>1500 </vt:lpstr>
      <vt:lpstr>1700</vt:lpstr>
      <vt:lpstr>2100</vt:lpstr>
      <vt:lpstr>2200</vt:lpstr>
      <vt:lpstr>2300</vt:lpstr>
      <vt:lpstr>3100</vt:lpstr>
      <vt:lpstr>3300</vt:lpstr>
      <vt:lpstr>3400 </vt:lpstr>
      <vt:lpstr>3500</vt:lpstr>
      <vt:lpstr>3600</vt:lpstr>
      <vt:lpstr>4100</vt:lpstr>
      <vt:lpstr>4200</vt:lpstr>
      <vt:lpstr>5100</vt:lpstr>
      <vt:lpstr>5200</vt:lpstr>
      <vt:lpstr>5400</vt:lpstr>
      <vt:lpstr>5600</vt:lpstr>
      <vt:lpstr>5700</vt:lpstr>
      <vt:lpstr>5900</vt:lpstr>
      <vt:lpstr>7300</vt:lpstr>
      <vt:lpstr>8100</vt:lpstr>
      <vt:lpstr>GENERAL SUMMARY </vt:lpstr>
      <vt:lpstr>9-Office Blocks</vt:lpstr>
      <vt:lpstr>10-Office Blocks EL</vt:lpstr>
      <vt:lpstr>11-WORKSHOP</vt:lpstr>
      <vt:lpstr>12-WORKSHOP EL</vt:lpstr>
      <vt:lpstr>13-ABLUTION</vt:lpstr>
      <vt:lpstr>14-ABLUTION EL</vt:lpstr>
      <vt:lpstr>12-PLANT</vt:lpstr>
      <vt:lpstr>13-V.O.</vt:lpstr>
      <vt:lpstr>Summary</vt:lpstr>
      <vt:lpstr>Sheet1 (2)</vt:lpstr>
      <vt:lpstr>'10-Office Blocks EL'!Print_Area</vt:lpstr>
      <vt:lpstr>'11-WORKSHOP'!Print_Area</vt:lpstr>
      <vt:lpstr>'12-PLANT'!Print_Area</vt:lpstr>
      <vt:lpstr>'12-WORKSHOP EL'!Print_Area</vt:lpstr>
      <vt:lpstr>'13-ABLUTION'!Print_Area</vt:lpstr>
      <vt:lpstr>'13-V.O.'!Print_Area</vt:lpstr>
      <vt:lpstr>'14-ABLUTION EL'!Print_Area</vt:lpstr>
      <vt:lpstr>'1500 '!Print_Area</vt:lpstr>
      <vt:lpstr>'1700'!Print_Area</vt:lpstr>
      <vt:lpstr>'1-P&amp;G''s '!Print_Area</vt:lpstr>
      <vt:lpstr>'2100'!Print_Area</vt:lpstr>
      <vt:lpstr>'2200'!Print_Area</vt:lpstr>
      <vt:lpstr>'2300'!Print_Area</vt:lpstr>
      <vt:lpstr>'2-Landfill Cells'!Print_Area</vt:lpstr>
      <vt:lpstr>'3100'!Print_Area</vt:lpstr>
      <vt:lpstr>'3300'!Print_Area</vt:lpstr>
      <vt:lpstr>'3400 '!Print_Area</vt:lpstr>
      <vt:lpstr>'3500'!Print_Area</vt:lpstr>
      <vt:lpstr>'3-Leachate Pond'!Print_Area</vt:lpstr>
      <vt:lpstr>'4-Drainage'!Print_Area</vt:lpstr>
      <vt:lpstr>'5100'!Print_Area</vt:lpstr>
      <vt:lpstr>'5200'!Print_Area</vt:lpstr>
      <vt:lpstr>'5400'!Print_Area</vt:lpstr>
      <vt:lpstr>'5600'!Print_Area</vt:lpstr>
      <vt:lpstr>'5700'!Print_Area</vt:lpstr>
      <vt:lpstr>'5900'!Print_Area</vt:lpstr>
      <vt:lpstr>'5-Structural Works'!Print_Area</vt:lpstr>
      <vt:lpstr>'7300'!Print_Area</vt:lpstr>
      <vt:lpstr>'8100'!Print_Area</vt:lpstr>
      <vt:lpstr>'9-Office Blocks'!Print_Area</vt:lpstr>
      <vt:lpstr>'Contractor Cover Sheet IPC 1'!Print_Area</vt:lpstr>
      <vt:lpstr>'GENERAL SUMMARY '!Print_Area</vt:lpstr>
      <vt:lpstr>'IA CERTIFICATE '!Print_Area</vt:lpstr>
      <vt:lpstr>Summary!Print_Area</vt:lpstr>
      <vt:lpstr>'10-Office Blocks EL'!Print_Titles</vt:lpstr>
      <vt:lpstr>'12-WORKSHOP EL'!Print_Titles</vt:lpstr>
      <vt:lpstr>'13-ABLUTION'!Print_Titles</vt:lpstr>
      <vt:lpstr>'14-ABLUTION EL'!Print_Titles</vt:lpstr>
      <vt:lpstr>'1500 '!Print_Titles</vt:lpstr>
      <vt:lpstr>'1-P&amp;G''s '!Print_Titles</vt:lpstr>
      <vt:lpstr>'2100'!Print_Titles</vt:lpstr>
      <vt:lpstr>'2300'!Print_Titles</vt:lpstr>
      <vt:lpstr>'2-Landfill Cells'!Print_Titles</vt:lpstr>
      <vt:lpstr>'3-Leachate Pond'!Print_Titles</vt:lpstr>
      <vt:lpstr>'4-Drainage'!Print_Titles</vt:lpstr>
      <vt:lpstr>'9-Office Blocks'!Print_Titles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Ericson Ntuli</dc:creator>
  <cp:lastModifiedBy>KiPPBLOEM</cp:lastModifiedBy>
  <cp:lastPrinted>2025-01-19T04:55:24Z</cp:lastPrinted>
  <dcterms:created xsi:type="dcterms:W3CDTF">2016-02-11T07:46:52Z</dcterms:created>
  <dcterms:modified xsi:type="dcterms:W3CDTF">2025-01-19T04:56:22Z</dcterms:modified>
</cp:coreProperties>
</file>